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M:\BZ_RAG_BILANCI\BILANCIO PREVENTIVO\Prev. 2020\"/>
    </mc:Choice>
  </mc:AlternateContent>
  <xr:revisionPtr revIDLastSave="0" documentId="13_ncr:1_{359AC12E-F478-4462-80C2-CCEC1A4B6BE8}" xr6:coauthVersionLast="41" xr6:coauthVersionMax="41" xr10:uidLastSave="{00000000-0000-0000-0000-000000000000}"/>
  <bookViews>
    <workbookView xWindow="-120" yWindow="-120" windowWidth="25440" windowHeight="15390" tabRatio="894" activeTab="1" xr2:uid="{00000000-000D-0000-FFFF-FFFF00000000}"/>
  </bookViews>
  <sheets>
    <sheet name="pdc2019" sheetId="21" r:id="rId1"/>
    <sheet name="CE statale" sheetId="10" r:id="rId2"/>
    <sheet name="G.u.V.Rechnung Staat" sheetId="11" r:id="rId3"/>
    <sheet name="CE statale pluri" sheetId="22" r:id="rId4"/>
    <sheet name="G.u.V.Rechnung Staat pluri" sheetId="23" r:id="rId5"/>
    <sheet name="CE MINISTERIALE 2019" sheetId="26" r:id="rId6"/>
    <sheet name="CE MINISTERIALE DE" sheetId="27" r:id="rId7"/>
    <sheet name="Anlage A10 - Finanzierungsübers" sheetId="24" r:id="rId8"/>
    <sheet name="Allegato 1) dbase" sheetId="25" r:id="rId9"/>
    <sheet name="CE sintesi" sheetId="18" r:id="rId10"/>
    <sheet name="CE Synthese" sheetId="19" r:id="rId11"/>
  </sheets>
  <externalReferences>
    <externalReference r:id="rId12"/>
  </externalReferences>
  <definedNames>
    <definedName name="_DAT1" localSheetId="0">'[1]Kapitel laufendeFinanzierung SB'!#REF!</definedName>
    <definedName name="_DAT1">'[1]Kapitel laufendeFinanzierung SB'!#REF!</definedName>
    <definedName name="_DAT10" localSheetId="0">'[1]Kapitel laufendeFinanzierung SB'!#REF!</definedName>
    <definedName name="_DAT10">'[1]Kapitel laufendeFinanzierung SB'!#REF!</definedName>
    <definedName name="_DAT11" localSheetId="0">'[1]Kapitel laufendeFinanzierung SB'!#REF!</definedName>
    <definedName name="_DAT11">'[1]Kapitel laufendeFinanzierung SB'!#REF!</definedName>
    <definedName name="_DAT12" localSheetId="0">'[1]Kapitel laufendeFinanzierung SB'!#REF!</definedName>
    <definedName name="_DAT12">'[1]Kapitel laufendeFinanzierung SB'!#REF!</definedName>
    <definedName name="_DAT13" localSheetId="0">'[1]Kapitel laufendeFinanzierung SB'!#REF!</definedName>
    <definedName name="_DAT13">'[1]Kapitel laufendeFinanzierung SB'!#REF!</definedName>
    <definedName name="_DAT14" localSheetId="0">'[1]Kapitel laufendeFinanzierung SB'!#REF!</definedName>
    <definedName name="_DAT14">'[1]Kapitel laufendeFinanzierung SB'!#REF!</definedName>
    <definedName name="_DAT15" localSheetId="0">'[1]Kapitel laufendeFinanzierung SB'!#REF!</definedName>
    <definedName name="_DAT15">'[1]Kapitel laufendeFinanzierung SB'!#REF!</definedName>
    <definedName name="_DAT16" localSheetId="0">'[1]Kapitel laufendeFinanzierung SB'!#REF!</definedName>
    <definedName name="_DAT16">'[1]Kapitel laufendeFinanzierung SB'!#REF!</definedName>
    <definedName name="_DAT17" localSheetId="0">'[1]Kapitel laufendeFinanzierung SB'!#REF!</definedName>
    <definedName name="_DAT17">'[1]Kapitel laufendeFinanzierung SB'!#REF!</definedName>
    <definedName name="_DAT18" localSheetId="0">'[1]Kapitel laufendeFinanzierung SB'!#REF!</definedName>
    <definedName name="_DAT18">'[1]Kapitel laufendeFinanzierung SB'!#REF!</definedName>
    <definedName name="_DAT19" localSheetId="0">'[1]Kapitel laufendeFinanzierung SB'!#REF!</definedName>
    <definedName name="_DAT19">'[1]Kapitel laufendeFinanzierung SB'!#REF!</definedName>
    <definedName name="_DAT2" localSheetId="0">'[1]Kapitel laufendeFinanzierung SB'!#REF!</definedName>
    <definedName name="_DAT2">'[1]Kapitel laufendeFinanzierung SB'!#REF!</definedName>
    <definedName name="_DAT20" localSheetId="0">'[1]Kapitel laufendeFinanzierung SB'!#REF!</definedName>
    <definedName name="_DAT20">'[1]Kapitel laufendeFinanzierung SB'!#REF!</definedName>
    <definedName name="_DAT21" localSheetId="0">'[1]Kapitel laufendeFinanzierung SB'!#REF!</definedName>
    <definedName name="_DAT21">'[1]Kapitel laufendeFinanzierung SB'!#REF!</definedName>
    <definedName name="_DAT3" localSheetId="0">'[1]Kapitel laufendeFinanzierung SB'!#REF!</definedName>
    <definedName name="_DAT3">'[1]Kapitel laufendeFinanzierung SB'!#REF!</definedName>
    <definedName name="_DAT4" localSheetId="0">'[1]Kapitel laufendeFinanzierung SB'!#REF!</definedName>
    <definedName name="_DAT4">'[1]Kapitel laufendeFinanzierung SB'!#REF!</definedName>
    <definedName name="_DAT5" localSheetId="0">'[1]Kapitel laufendeFinanzierung SB'!#REF!</definedName>
    <definedName name="_DAT5">'[1]Kapitel laufendeFinanzierung SB'!#REF!</definedName>
    <definedName name="_DAT6" localSheetId="0">'[1]Kapitel laufendeFinanzierung SB'!#REF!</definedName>
    <definedName name="_DAT6">'[1]Kapitel laufendeFinanzierung SB'!#REF!</definedName>
    <definedName name="_DAT7" localSheetId="0">'[1]Kapitel laufendeFinanzierung SB'!#REF!</definedName>
    <definedName name="_DAT7">'[1]Kapitel laufendeFinanzierung SB'!#REF!</definedName>
    <definedName name="_DAT8" localSheetId="0">'[1]Kapitel laufendeFinanzierung SB'!#REF!</definedName>
    <definedName name="_DAT8">'[1]Kapitel laufendeFinanzierung SB'!#REF!</definedName>
    <definedName name="_DAT9" localSheetId="0">'[1]Kapitel laufendeFinanzierung SB'!#REF!</definedName>
    <definedName name="_DAT9">'[1]Kapitel laufendeFinanzierung SB'!#REF!</definedName>
    <definedName name="_xlnm._FilterDatabase" localSheetId="5" hidden="1">'CE MINISTERIALE 2019'!$L$1:$L$656</definedName>
    <definedName name="_xlnm._FilterDatabase" localSheetId="6" hidden="1">'CE MINISTERIALE DE'!$L$1:$L$656</definedName>
    <definedName name="_xlnm._FilterDatabase" localSheetId="0" hidden="1">'pdc2019'!$A$4:$W$1086</definedName>
    <definedName name="_xlnm.Print_Area" localSheetId="8">'Allegato 1) dbase'!$C$1:$K$43</definedName>
    <definedName name="_xlnm.Print_Area" localSheetId="5">'CE MINISTERIALE 2019'!$A$1:$AB$605</definedName>
    <definedName name="_xlnm.Print_Area" localSheetId="6">'CE MINISTERIALE DE'!$A$1:$AB$605</definedName>
    <definedName name="_xlnm.Print_Area" localSheetId="9">'CE sintesi'!$B$1:$K$121</definedName>
    <definedName name="_xlnm.Print_Area" localSheetId="1">'CE statale'!$B$1:$M$121</definedName>
    <definedName name="_xlnm.Print_Area" localSheetId="3">'CE statale pluri'!$B$1:$N$121</definedName>
    <definedName name="_xlnm.Print_Area" localSheetId="10">'CE Synthese'!$B$1:$K$121</definedName>
    <definedName name="_xlnm.Print_Area" localSheetId="2">'G.u.V.Rechnung Staat'!$B$1:$M$121</definedName>
    <definedName name="_xlnm.Print_Area" localSheetId="4">'G.u.V.Rechnung Staat pluri'!$B$1:$N$121</definedName>
    <definedName name="_xlnm.Print_Area" localSheetId="0">'pdc2019'!$B$1:$Y$1095</definedName>
    <definedName name="_xlnm.Criteria" localSheetId="0">#REF!</definedName>
    <definedName name="_xlnm.Criteria">#REF!</definedName>
    <definedName name="_xlnm.Database" localSheetId="0">#REF!</definedName>
    <definedName name="_xlnm.Database">#REF!</definedName>
    <definedName name="Economico__distretto" localSheetId="7">#REF!</definedName>
    <definedName name="Economico__distretto" localSheetId="9">#REF!</definedName>
    <definedName name="Economico__distretto" localSheetId="1">#REF!</definedName>
    <definedName name="Economico__distretto" localSheetId="3">#REF!</definedName>
    <definedName name="Economico__distretto" localSheetId="0">#REF!</definedName>
    <definedName name="Economico__distretto">#REF!</definedName>
    <definedName name="Economico_classe" localSheetId="7">#REF!</definedName>
    <definedName name="Economico_classe" localSheetId="9">#REF!</definedName>
    <definedName name="Economico_classe" localSheetId="1">#REF!</definedName>
    <definedName name="Economico_classe" localSheetId="3">#REF!</definedName>
    <definedName name="Economico_classe" localSheetId="0">#REF!</definedName>
    <definedName name="Economico_classe">#REF!</definedName>
    <definedName name="Economico_contabilita" localSheetId="7">#REF!</definedName>
    <definedName name="Economico_contabilita" localSheetId="9">#REF!</definedName>
    <definedName name="Economico_contabilita" localSheetId="1">#REF!</definedName>
    <definedName name="Economico_contabilita" localSheetId="3">#REF!</definedName>
    <definedName name="Economico_contabilita" localSheetId="0">#REF!</definedName>
    <definedName name="Economico_contabilita">#REF!</definedName>
    <definedName name="Economico_descrizione" localSheetId="7">#REF!</definedName>
    <definedName name="Economico_descrizione" localSheetId="9">#REF!</definedName>
    <definedName name="Economico_descrizione" localSheetId="1">#REF!</definedName>
    <definedName name="Economico_descrizione" localSheetId="3">#REF!</definedName>
    <definedName name="Economico_descrizione" localSheetId="0">#REF!</definedName>
    <definedName name="Economico_descrizione">#REF!</definedName>
    <definedName name="Economico_elaboratoil" localSheetId="7">#REF!</definedName>
    <definedName name="Economico_elaboratoil" localSheetId="9">#REF!</definedName>
    <definedName name="Economico_elaboratoil" localSheetId="1">#REF!</definedName>
    <definedName name="Economico_elaboratoil" localSheetId="3">#REF!</definedName>
    <definedName name="Economico_elaboratoil" localSheetId="0">#REF!</definedName>
    <definedName name="Economico_elaboratoil">#REF!</definedName>
    <definedName name="Economico_istituto" localSheetId="7">#REF!</definedName>
    <definedName name="Economico_istituto" localSheetId="9">#REF!</definedName>
    <definedName name="Economico_istituto" localSheetId="1">#REF!</definedName>
    <definedName name="Economico_istituto" localSheetId="3">#REF!</definedName>
    <definedName name="Economico_istituto" localSheetId="0">#REF!</definedName>
    <definedName name="Economico_istituto">#REF!</definedName>
    <definedName name="Economico_periodo" localSheetId="7">#REF!</definedName>
    <definedName name="Economico_periodo" localSheetId="9">#REF!</definedName>
    <definedName name="Economico_periodo" localSheetId="1">#REF!</definedName>
    <definedName name="Economico_periodo" localSheetId="3">#REF!</definedName>
    <definedName name="Economico_periodo" localSheetId="0">#REF!</definedName>
    <definedName name="Economico_periodo">#REF!</definedName>
    <definedName name="Economico_tipo" localSheetId="7">#REF!</definedName>
    <definedName name="Economico_tipo" localSheetId="9">#REF!</definedName>
    <definedName name="Economico_tipo" localSheetId="1">#REF!</definedName>
    <definedName name="Economico_tipo" localSheetId="3">#REF!</definedName>
    <definedName name="Economico_tipo" localSheetId="0">#REF!</definedName>
    <definedName name="Economico_tipo">#REF!</definedName>
    <definedName name="Economico_tipocont" localSheetId="7">#REF!</definedName>
    <definedName name="Economico_tipocont" localSheetId="9">#REF!</definedName>
    <definedName name="Economico_tipocont" localSheetId="1">#REF!</definedName>
    <definedName name="Economico_tipocont" localSheetId="3">#REF!</definedName>
    <definedName name="Economico_tipocont" localSheetId="0">#REF!</definedName>
    <definedName name="Economico_tipocont">#REF!</definedName>
    <definedName name="_xlnm.Extract" localSheetId="0">#REF!</definedName>
    <definedName name="_xlnm.Extract">#REF!</definedName>
    <definedName name="Excel_BuiltIn_Criteria" localSheetId="0">#REF!</definedName>
    <definedName name="Excel_BuiltIn_Criteria">#REF!</definedName>
    <definedName name="Excel_BuiltIn_Database" localSheetId="0">#REF!</definedName>
    <definedName name="Excel_BuiltIn_Database">#REF!</definedName>
    <definedName name="Excel_BuiltIn_Extract" localSheetId="0">#REF!</definedName>
    <definedName name="Excel_BuiltIn_Extract">#REF!</definedName>
    <definedName name="finanziario" localSheetId="0">#REF!</definedName>
    <definedName name="finanziario">#REF!</definedName>
    <definedName name="Finanziario_descrizione" localSheetId="7">#REF!</definedName>
    <definedName name="Finanziario_descrizione" localSheetId="9">#REF!</definedName>
    <definedName name="Finanziario_descrizione" localSheetId="1">#REF!</definedName>
    <definedName name="Finanziario_descrizione" localSheetId="3">#REF!</definedName>
    <definedName name="Finanziario_descrizione" localSheetId="0">#REF!</definedName>
    <definedName name="Finanziario_descrizione">#REF!</definedName>
    <definedName name="Finanziario_elaboratoil" localSheetId="7">#REF!</definedName>
    <definedName name="Finanziario_elaboratoil" localSheetId="9">#REF!</definedName>
    <definedName name="Finanziario_elaboratoil" localSheetId="1">#REF!</definedName>
    <definedName name="Finanziario_elaboratoil" localSheetId="3">#REF!</definedName>
    <definedName name="Finanziario_elaboratoil" localSheetId="0">#REF!</definedName>
    <definedName name="Finanziario_elaboratoil">#REF!</definedName>
    <definedName name="TEST1" localSheetId="0">'[1]Kapitel laufendeFinanzierung SB'!#REF!</definedName>
    <definedName name="TEST1">'[1]Kapitel laufendeFinanzierung SB'!#REF!</definedName>
    <definedName name="TESTHKEY" localSheetId="0">'[1]Kapitel laufendeFinanzierung SB'!#REF!</definedName>
    <definedName name="TESTHKEY">'[1]Kapitel laufendeFinanzierung SB'!#REF!</definedName>
    <definedName name="TESTKEYS" localSheetId="0">'[1]Kapitel laufendeFinanzierung SB'!#REF!</definedName>
    <definedName name="TESTKEYS">'[1]Kapitel laufendeFinanzierung SB'!#REF!</definedName>
    <definedName name="TESTVKEY" localSheetId="0">'[1]Kapitel laufendeFinanzierung SB'!#REF!</definedName>
    <definedName name="TESTVKEY">'[1]Kapitel laufendeFinanzierung SB'!#REF!</definedName>
    <definedName name="_xlnm.Print_Titles" localSheetId="5">'CE MINISTERIALE 2019'!$1:$25</definedName>
    <definedName name="_xlnm.Print_Titles" localSheetId="6">'CE MINISTERIALE DE'!$1:$25</definedName>
    <definedName name="_xlnm.Print_Titles" localSheetId="1">'CE statale'!$4:$8</definedName>
    <definedName name="_xlnm.Print_Titles" localSheetId="3">'CE statale pluri'!$7:$8</definedName>
    <definedName name="_xlnm.Print_Titles" localSheetId="2">'G.u.V.Rechnung Staat'!$4:$8</definedName>
    <definedName name="_xlnm.Print_Titles" localSheetId="4">'G.u.V.Rechnung Staat pluri'!$7:$8</definedName>
    <definedName name="_xlnm.Print_Titles" localSheetId="0">'pdc2019'!$1:$3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8" i="27" l="1"/>
  <c r="D494" i="27"/>
  <c r="D186" i="27"/>
  <c r="D160" i="27"/>
  <c r="D26" i="27"/>
  <c r="L20" i="27"/>
  <c r="I20" i="27"/>
  <c r="R14" i="27"/>
  <c r="AA14" i="27"/>
  <c r="AA12" i="27"/>
  <c r="X12" i="27"/>
  <c r="U12" i="27"/>
  <c r="R12" i="27"/>
  <c r="U10" i="27"/>
  <c r="T10" i="27"/>
  <c r="S10" i="27"/>
  <c r="R10" i="27"/>
  <c r="V1086" i="21" l="1"/>
  <c r="V1085" i="21"/>
  <c r="V1084" i="21"/>
  <c r="V1083" i="21"/>
  <c r="V1082" i="21"/>
  <c r="V1081" i="21"/>
  <c r="V1080" i="21"/>
  <c r="V1079" i="21"/>
  <c r="V1078" i="21"/>
  <c r="V1077" i="21"/>
  <c r="V1076" i="21"/>
  <c r="V1075" i="21"/>
  <c r="V1074" i="21"/>
  <c r="V1073" i="21"/>
  <c r="V1072" i="21"/>
  <c r="V1071" i="21"/>
  <c r="V1070" i="21"/>
  <c r="V1069" i="21"/>
  <c r="V1068" i="21"/>
  <c r="V1067" i="21"/>
  <c r="V1066" i="21"/>
  <c r="V1065" i="21"/>
  <c r="V1064" i="21"/>
  <c r="V1063" i="21"/>
  <c r="V1062" i="21"/>
  <c r="V1061" i="21"/>
  <c r="V1060" i="21"/>
  <c r="V1059" i="21"/>
  <c r="V1058" i="21"/>
  <c r="V1057" i="21"/>
  <c r="V1056" i="21"/>
  <c r="V1055" i="21"/>
  <c r="V1054" i="21"/>
  <c r="V1053" i="21"/>
  <c r="V1052" i="21"/>
  <c r="V1051" i="21"/>
  <c r="V1050" i="21"/>
  <c r="V1049" i="21"/>
  <c r="V1048" i="21"/>
  <c r="V1047" i="21"/>
  <c r="V1046" i="21"/>
  <c r="V1045" i="21"/>
  <c r="V1044" i="21"/>
  <c r="V1043" i="21"/>
  <c r="V1042" i="21"/>
  <c r="V1041" i="21"/>
  <c r="V1040" i="21"/>
  <c r="V1039" i="21"/>
  <c r="V1038" i="21"/>
  <c r="V1037" i="21"/>
  <c r="V1036" i="21"/>
  <c r="V1035" i="21"/>
  <c r="V1034" i="21"/>
  <c r="V1033" i="21"/>
  <c r="V1032" i="21"/>
  <c r="V1031" i="21"/>
  <c r="V1030" i="21"/>
  <c r="V1029" i="21"/>
  <c r="V1028" i="21"/>
  <c r="V1027" i="21"/>
  <c r="V1026" i="21"/>
  <c r="V1025" i="21"/>
  <c r="V1024" i="21"/>
  <c r="V1023" i="21"/>
  <c r="V1022" i="21"/>
  <c r="V1021" i="21"/>
  <c r="V1020" i="21"/>
  <c r="V1019" i="21"/>
  <c r="V1018" i="21"/>
  <c r="V1017" i="21"/>
  <c r="V1016" i="21"/>
  <c r="V1015" i="21"/>
  <c r="V1014" i="21"/>
  <c r="V1013" i="21"/>
  <c r="V1012" i="21"/>
  <c r="V1011" i="21"/>
  <c r="V1010" i="21"/>
  <c r="V1009" i="21"/>
  <c r="V1008" i="21"/>
  <c r="V1007" i="21"/>
  <c r="V1006" i="21"/>
  <c r="V1005" i="21"/>
  <c r="V1004" i="21"/>
  <c r="V1003" i="21"/>
  <c r="V1002" i="21"/>
  <c r="V1001" i="21"/>
  <c r="V1000" i="21"/>
  <c r="V999" i="21"/>
  <c r="V998" i="21"/>
  <c r="V997" i="21"/>
  <c r="V996" i="21"/>
  <c r="V995" i="21"/>
  <c r="V994" i="21"/>
  <c r="V993" i="21"/>
  <c r="V992" i="21"/>
  <c r="V991" i="21"/>
  <c r="V990" i="21"/>
  <c r="V989" i="21"/>
  <c r="V988" i="21"/>
  <c r="V987" i="21"/>
  <c r="V986" i="21"/>
  <c r="V985" i="21"/>
  <c r="V984" i="21"/>
  <c r="V983" i="21"/>
  <c r="V982" i="21"/>
  <c r="V981" i="21"/>
  <c r="V980" i="21"/>
  <c r="V979" i="21"/>
  <c r="V978" i="21"/>
  <c r="V977" i="21"/>
  <c r="V976" i="21"/>
  <c r="V975" i="21"/>
  <c r="V974" i="21"/>
  <c r="V973" i="21"/>
  <c r="V972" i="21"/>
  <c r="V971" i="21"/>
  <c r="V970" i="21"/>
  <c r="V969" i="21"/>
  <c r="V968" i="21"/>
  <c r="V967" i="21"/>
  <c r="V966" i="21"/>
  <c r="V965" i="21"/>
  <c r="V964" i="21"/>
  <c r="V963" i="21"/>
  <c r="V962" i="21"/>
  <c r="V961" i="21"/>
  <c r="V960" i="21"/>
  <c r="V959" i="21"/>
  <c r="V958" i="21"/>
  <c r="V957" i="21"/>
  <c r="V956" i="21"/>
  <c r="V955" i="21"/>
  <c r="V954" i="21"/>
  <c r="V953" i="21"/>
  <c r="V952" i="21"/>
  <c r="V951" i="21"/>
  <c r="V950" i="21"/>
  <c r="V949" i="21"/>
  <c r="V948" i="21"/>
  <c r="V947" i="21"/>
  <c r="V946" i="21"/>
  <c r="V945" i="21"/>
  <c r="V944" i="21"/>
  <c r="V943" i="21"/>
  <c r="V942" i="21"/>
  <c r="V941" i="21"/>
  <c r="V940" i="21"/>
  <c r="V939" i="21"/>
  <c r="V938" i="21"/>
  <c r="V937" i="21"/>
  <c r="V936" i="21"/>
  <c r="V935" i="21"/>
  <c r="V934" i="21"/>
  <c r="V933" i="21"/>
  <c r="V932" i="21"/>
  <c r="V931" i="21"/>
  <c r="V930" i="21"/>
  <c r="V929" i="21"/>
  <c r="V928" i="21"/>
  <c r="V927" i="21"/>
  <c r="V926" i="21"/>
  <c r="V925" i="21"/>
  <c r="V924" i="21"/>
  <c r="V923" i="21"/>
  <c r="V922" i="21"/>
  <c r="V921" i="21"/>
  <c r="V920" i="21"/>
  <c r="V919" i="21"/>
  <c r="V918" i="21"/>
  <c r="V917" i="21"/>
  <c r="V916" i="21"/>
  <c r="V915" i="21"/>
  <c r="V914" i="21"/>
  <c r="V913" i="21"/>
  <c r="V912" i="21"/>
  <c r="V911" i="21"/>
  <c r="V910" i="21"/>
  <c r="V909" i="21"/>
  <c r="V908" i="21"/>
  <c r="V907" i="21"/>
  <c r="V906" i="21"/>
  <c r="V905" i="21"/>
  <c r="V904" i="21"/>
  <c r="V903" i="21"/>
  <c r="V902" i="21"/>
  <c r="V901" i="21"/>
  <c r="V900" i="21"/>
  <c r="V899" i="21"/>
  <c r="V898" i="21"/>
  <c r="V897" i="21"/>
  <c r="V896" i="21"/>
  <c r="V895" i="21"/>
  <c r="V894" i="21"/>
  <c r="V893" i="21"/>
  <c r="V892" i="21"/>
  <c r="V891" i="21"/>
  <c r="V890" i="21"/>
  <c r="V889" i="21"/>
  <c r="V888" i="21"/>
  <c r="V887" i="21"/>
  <c r="V886" i="21"/>
  <c r="V885" i="21"/>
  <c r="V884" i="21"/>
  <c r="V883" i="21"/>
  <c r="V882" i="21"/>
  <c r="V881" i="21"/>
  <c r="V880" i="21"/>
  <c r="V879" i="21"/>
  <c r="V878" i="21"/>
  <c r="V877" i="21"/>
  <c r="V876" i="21"/>
  <c r="V875" i="21"/>
  <c r="V874" i="21"/>
  <c r="V873" i="21"/>
  <c r="V872" i="21"/>
  <c r="V871" i="21"/>
  <c r="V870" i="21"/>
  <c r="V869" i="21"/>
  <c r="V868" i="21"/>
  <c r="V867" i="21"/>
  <c r="V866" i="21"/>
  <c r="V865" i="21"/>
  <c r="V864" i="21"/>
  <c r="V863" i="21"/>
  <c r="V862" i="21"/>
  <c r="V861" i="21"/>
  <c r="V860" i="21"/>
  <c r="V859" i="21"/>
  <c r="V858" i="21"/>
  <c r="V857" i="21"/>
  <c r="V856" i="21"/>
  <c r="V855" i="21"/>
  <c r="V854" i="21"/>
  <c r="V853" i="21"/>
  <c r="V852" i="21"/>
  <c r="V851" i="21"/>
  <c r="V850" i="21"/>
  <c r="V849" i="21"/>
  <c r="V848" i="21"/>
  <c r="V847" i="21"/>
  <c r="V846" i="21"/>
  <c r="V845" i="21"/>
  <c r="V844" i="21"/>
  <c r="V843" i="21"/>
  <c r="V842" i="21"/>
  <c r="V841" i="21"/>
  <c r="V840" i="21"/>
  <c r="V839" i="21"/>
  <c r="V838" i="21"/>
  <c r="V837" i="21"/>
  <c r="V836" i="21"/>
  <c r="V835" i="21"/>
  <c r="V834" i="21"/>
  <c r="V833" i="21"/>
  <c r="V832" i="21"/>
  <c r="V831" i="21"/>
  <c r="V830" i="21"/>
  <c r="V829" i="21"/>
  <c r="V828" i="21"/>
  <c r="V827" i="21"/>
  <c r="V826" i="21"/>
  <c r="V825" i="21"/>
  <c r="V824" i="21"/>
  <c r="V823" i="21"/>
  <c r="V822" i="21"/>
  <c r="V821" i="21"/>
  <c r="V820" i="21"/>
  <c r="V819" i="21"/>
  <c r="V818" i="21"/>
  <c r="V817" i="21"/>
  <c r="V816" i="21"/>
  <c r="V815" i="21"/>
  <c r="V814" i="21"/>
  <c r="V813" i="21"/>
  <c r="V812" i="21"/>
  <c r="V811" i="21"/>
  <c r="V810" i="21"/>
  <c r="V809" i="21"/>
  <c r="V808" i="21"/>
  <c r="V807" i="21"/>
  <c r="V806" i="21"/>
  <c r="V805" i="21"/>
  <c r="V804" i="21"/>
  <c r="V803" i="21"/>
  <c r="V802" i="21"/>
  <c r="V801" i="21"/>
  <c r="V800" i="21"/>
  <c r="V799" i="21"/>
  <c r="V798" i="21"/>
  <c r="V797" i="21"/>
  <c r="V796" i="21"/>
  <c r="V795" i="21"/>
  <c r="V794" i="21"/>
  <c r="V793" i="21"/>
  <c r="V792" i="21"/>
  <c r="V791" i="21"/>
  <c r="V790" i="21"/>
  <c r="V789" i="21"/>
  <c r="V788" i="21"/>
  <c r="V787" i="21"/>
  <c r="V786" i="21"/>
  <c r="V785" i="21"/>
  <c r="V784" i="21"/>
  <c r="V783" i="21"/>
  <c r="V782" i="21"/>
  <c r="V781" i="21"/>
  <c r="V780" i="21"/>
  <c r="V779" i="21"/>
  <c r="V778" i="21"/>
  <c r="V777" i="21"/>
  <c r="V776" i="21"/>
  <c r="V775" i="21"/>
  <c r="V774" i="21"/>
  <c r="V773" i="21"/>
  <c r="V772" i="21"/>
  <c r="V771" i="21"/>
  <c r="V770" i="21"/>
  <c r="V769" i="21"/>
  <c r="V768" i="21"/>
  <c r="V767" i="21"/>
  <c r="V766" i="21"/>
  <c r="V765" i="21"/>
  <c r="V764" i="21"/>
  <c r="V763" i="21"/>
  <c r="V762" i="21"/>
  <c r="V761" i="21"/>
  <c r="V760" i="21"/>
  <c r="V759" i="21"/>
  <c r="V758" i="21"/>
  <c r="V757" i="21"/>
  <c r="V756" i="21"/>
  <c r="V755" i="21"/>
  <c r="V754" i="21"/>
  <c r="V753" i="21"/>
  <c r="V752" i="21"/>
  <c r="V751" i="21"/>
  <c r="V750" i="21"/>
  <c r="V749" i="21"/>
  <c r="V748" i="21"/>
  <c r="V747" i="21"/>
  <c r="V746" i="21"/>
  <c r="V745" i="21"/>
  <c r="V744" i="21"/>
  <c r="V743" i="21"/>
  <c r="V742" i="21"/>
  <c r="V741" i="21"/>
  <c r="V740" i="21"/>
  <c r="V739" i="21"/>
  <c r="V738" i="21"/>
  <c r="V737" i="21"/>
  <c r="V736" i="21"/>
  <c r="V735" i="21"/>
  <c r="V734" i="21"/>
  <c r="V733" i="21"/>
  <c r="V732" i="21"/>
  <c r="V731" i="21"/>
  <c r="V730" i="21"/>
  <c r="V729" i="21"/>
  <c r="V728" i="21"/>
  <c r="V727" i="21"/>
  <c r="V726" i="21"/>
  <c r="V725" i="21"/>
  <c r="V724" i="21"/>
  <c r="V723" i="21"/>
  <c r="V722" i="21"/>
  <c r="V721" i="21"/>
  <c r="V720" i="21"/>
  <c r="V719" i="21"/>
  <c r="V718" i="21"/>
  <c r="V717" i="21"/>
  <c r="V716" i="21"/>
  <c r="V715" i="21"/>
  <c r="V714" i="21"/>
  <c r="V713" i="21"/>
  <c r="V712" i="21"/>
  <c r="V711" i="21"/>
  <c r="V710" i="21"/>
  <c r="V709" i="21"/>
  <c r="V708" i="21"/>
  <c r="V707" i="21"/>
  <c r="V706" i="21"/>
  <c r="V705" i="21"/>
  <c r="V704" i="21"/>
  <c r="V703" i="21"/>
  <c r="V702" i="21"/>
  <c r="V701" i="21"/>
  <c r="V700" i="21"/>
  <c r="V699" i="21"/>
  <c r="V698" i="21"/>
  <c r="V697" i="21"/>
  <c r="V696" i="21"/>
  <c r="V695" i="21"/>
  <c r="V694" i="21"/>
  <c r="V693" i="21"/>
  <c r="V692" i="21"/>
  <c r="V691" i="21"/>
  <c r="V690" i="21"/>
  <c r="V689" i="21"/>
  <c r="V688" i="21"/>
  <c r="V687" i="21"/>
  <c r="V686" i="21"/>
  <c r="V685" i="21"/>
  <c r="V684" i="21"/>
  <c r="V683" i="21"/>
  <c r="V682" i="21"/>
  <c r="V681" i="21"/>
  <c r="V680" i="21"/>
  <c r="V679" i="21"/>
  <c r="V678" i="21"/>
  <c r="V677" i="21"/>
  <c r="V676" i="21"/>
  <c r="V675" i="21"/>
  <c r="V674" i="21"/>
  <c r="V673" i="21"/>
  <c r="V672" i="21"/>
  <c r="V671" i="21"/>
  <c r="V670" i="21"/>
  <c r="V669" i="21"/>
  <c r="V668" i="21"/>
  <c r="V667" i="21"/>
  <c r="V666" i="21"/>
  <c r="V665" i="21"/>
  <c r="V664" i="21"/>
  <c r="V663" i="21"/>
  <c r="V662" i="21"/>
  <c r="V661" i="21"/>
  <c r="V660" i="21"/>
  <c r="V659" i="21"/>
  <c r="V658" i="21"/>
  <c r="V657" i="21"/>
  <c r="V656" i="21"/>
  <c r="V655" i="21"/>
  <c r="V654" i="21"/>
  <c r="V653" i="21"/>
  <c r="V652" i="21"/>
  <c r="V651" i="21"/>
  <c r="V650" i="21"/>
  <c r="V649" i="21"/>
  <c r="V648" i="21"/>
  <c r="V647" i="21"/>
  <c r="V646" i="21"/>
  <c r="V645" i="21"/>
  <c r="V644" i="21"/>
  <c r="V643" i="21"/>
  <c r="V642" i="21"/>
  <c r="V641" i="21"/>
  <c r="V640" i="21"/>
  <c r="V639" i="21"/>
  <c r="V638" i="21"/>
  <c r="V637" i="21"/>
  <c r="V636" i="21"/>
  <c r="V635" i="21"/>
  <c r="V634" i="21"/>
  <c r="V633" i="21"/>
  <c r="V632" i="21"/>
  <c r="V631" i="21"/>
  <c r="V630" i="21"/>
  <c r="V629" i="21"/>
  <c r="V628" i="21"/>
  <c r="V627" i="21"/>
  <c r="V626" i="21"/>
  <c r="V625" i="21"/>
  <c r="V624" i="21"/>
  <c r="V623" i="21"/>
  <c r="V622" i="21"/>
  <c r="V621" i="21"/>
  <c r="V620" i="21"/>
  <c r="V619" i="21"/>
  <c r="V618" i="21"/>
  <c r="V617" i="21"/>
  <c r="V616" i="21"/>
  <c r="V615" i="21"/>
  <c r="V614" i="21"/>
  <c r="V613" i="21"/>
  <c r="V612" i="21"/>
  <c r="V611" i="21"/>
  <c r="V610" i="21"/>
  <c r="V609" i="21"/>
  <c r="V608" i="21"/>
  <c r="V607" i="21"/>
  <c r="V606" i="21"/>
  <c r="V605" i="21"/>
  <c r="V604" i="21"/>
  <c r="V603" i="21"/>
  <c r="V602" i="21"/>
  <c r="V601" i="21"/>
  <c r="V600" i="21"/>
  <c r="V599" i="21"/>
  <c r="V598" i="21"/>
  <c r="V597" i="21"/>
  <c r="V596" i="21"/>
  <c r="V595" i="21"/>
  <c r="V594" i="21"/>
  <c r="V593" i="21"/>
  <c r="V592" i="21"/>
  <c r="V591" i="21"/>
  <c r="V590" i="21"/>
  <c r="V589" i="21"/>
  <c r="V588" i="21"/>
  <c r="V587" i="21"/>
  <c r="V586" i="21"/>
  <c r="V585" i="21"/>
  <c r="V584" i="21"/>
  <c r="V583" i="21"/>
  <c r="V582" i="21"/>
  <c r="V581" i="21"/>
  <c r="V580" i="21"/>
  <c r="V579" i="21"/>
  <c r="V578" i="21"/>
  <c r="V577" i="21"/>
  <c r="V576" i="21"/>
  <c r="V575" i="21"/>
  <c r="V574" i="21"/>
  <c r="V573" i="21"/>
  <c r="V572" i="21"/>
  <c r="V571" i="21"/>
  <c r="V570" i="21"/>
  <c r="V569" i="21"/>
  <c r="V568" i="21"/>
  <c r="V567" i="21"/>
  <c r="V566" i="21"/>
  <c r="V565" i="21"/>
  <c r="V564" i="21"/>
  <c r="V563" i="21"/>
  <c r="V562" i="21"/>
  <c r="V561" i="21"/>
  <c r="V560" i="21"/>
  <c r="V559" i="21"/>
  <c r="V558" i="21"/>
  <c r="V557" i="21"/>
  <c r="V556" i="21"/>
  <c r="V555" i="21"/>
  <c r="V554" i="21"/>
  <c r="V553" i="21"/>
  <c r="V552" i="21"/>
  <c r="V551" i="21"/>
  <c r="V550" i="21"/>
  <c r="V549" i="21"/>
  <c r="V548" i="21"/>
  <c r="V547" i="21"/>
  <c r="V546" i="21"/>
  <c r="V545" i="21"/>
  <c r="V544" i="21"/>
  <c r="V543" i="21"/>
  <c r="V542" i="21"/>
  <c r="V541" i="21"/>
  <c r="V540" i="21"/>
  <c r="V539" i="21"/>
  <c r="V538" i="21"/>
  <c r="V537" i="21"/>
  <c r="V536" i="21"/>
  <c r="V535" i="21"/>
  <c r="V534" i="21"/>
  <c r="V533" i="21"/>
  <c r="V532" i="21"/>
  <c r="V531" i="21"/>
  <c r="V530" i="21"/>
  <c r="V529" i="21"/>
  <c r="V528" i="21"/>
  <c r="V527" i="21"/>
  <c r="V526" i="21"/>
  <c r="V525" i="21"/>
  <c r="V524" i="21"/>
  <c r="V523" i="21"/>
  <c r="V522" i="21"/>
  <c r="V521" i="21"/>
  <c r="V520" i="21"/>
  <c r="V519" i="21"/>
  <c r="V518" i="21"/>
  <c r="V517" i="21"/>
  <c r="V516" i="21"/>
  <c r="V515" i="21"/>
  <c r="V514" i="21"/>
  <c r="V513" i="21"/>
  <c r="V512" i="21"/>
  <c r="V511" i="21"/>
  <c r="V510" i="21"/>
  <c r="V509" i="21"/>
  <c r="V508" i="21"/>
  <c r="V507" i="21"/>
  <c r="V506" i="21"/>
  <c r="V505" i="21"/>
  <c r="V504" i="21"/>
  <c r="V503" i="21"/>
  <c r="V502" i="21"/>
  <c r="V501" i="21"/>
  <c r="V500" i="21"/>
  <c r="V499" i="21"/>
  <c r="V498" i="21"/>
  <c r="V497" i="21"/>
  <c r="V496" i="21"/>
  <c r="V495" i="21"/>
  <c r="V494" i="21"/>
  <c r="V493" i="21"/>
  <c r="V492" i="21"/>
  <c r="V491" i="21"/>
  <c r="V490" i="21"/>
  <c r="V489" i="21"/>
  <c r="V488" i="21"/>
  <c r="V487" i="21"/>
  <c r="V486" i="21"/>
  <c r="V485" i="21"/>
  <c r="V484" i="21"/>
  <c r="V483" i="21"/>
  <c r="V482" i="21"/>
  <c r="V481" i="21"/>
  <c r="V480" i="21"/>
  <c r="V479" i="21"/>
  <c r="V478" i="21"/>
  <c r="V477" i="21"/>
  <c r="V476" i="21"/>
  <c r="V475" i="21"/>
  <c r="V474" i="21"/>
  <c r="V473" i="21"/>
  <c r="V472" i="21"/>
  <c r="V471" i="21"/>
  <c r="V470" i="21"/>
  <c r="V469" i="21"/>
  <c r="V468" i="21"/>
  <c r="V467" i="21"/>
  <c r="V466" i="21"/>
  <c r="V465" i="21"/>
  <c r="V464" i="21"/>
  <c r="V463" i="21"/>
  <c r="V462" i="21"/>
  <c r="V461" i="21"/>
  <c r="V460" i="21"/>
  <c r="V459" i="21"/>
  <c r="V458" i="21"/>
  <c r="V457" i="21"/>
  <c r="V456" i="21"/>
  <c r="V455" i="21"/>
  <c r="V454" i="21"/>
  <c r="V453" i="21"/>
  <c r="V452" i="21"/>
  <c r="V451" i="21"/>
  <c r="V450" i="21"/>
  <c r="V449" i="21"/>
  <c r="V448" i="21"/>
  <c r="V447" i="21"/>
  <c r="V446" i="21"/>
  <c r="V445" i="21"/>
  <c r="V444" i="21"/>
  <c r="V443" i="21"/>
  <c r="V442" i="21"/>
  <c r="V441" i="21"/>
  <c r="V440" i="21"/>
  <c r="V439" i="21"/>
  <c r="V438" i="21"/>
  <c r="V437" i="21"/>
  <c r="V436" i="21"/>
  <c r="V435" i="21"/>
  <c r="V434" i="21"/>
  <c r="V433" i="21"/>
  <c r="V432" i="21"/>
  <c r="V431" i="21"/>
  <c r="V430" i="21"/>
  <c r="V429" i="21"/>
  <c r="V428" i="21"/>
  <c r="V427" i="21"/>
  <c r="V426" i="21"/>
  <c r="V425" i="21"/>
  <c r="V424" i="21"/>
  <c r="V423" i="21"/>
  <c r="V422" i="21"/>
  <c r="V421" i="21"/>
  <c r="V420" i="21"/>
  <c r="V419" i="21"/>
  <c r="V418" i="21"/>
  <c r="V417" i="21"/>
  <c r="V416" i="21"/>
  <c r="V415" i="21"/>
  <c r="V414" i="21"/>
  <c r="V413" i="21"/>
  <c r="V412" i="21"/>
  <c r="V411" i="21"/>
  <c r="V410" i="21"/>
  <c r="V409" i="21"/>
  <c r="V408" i="21"/>
  <c r="V407" i="21"/>
  <c r="V406" i="21"/>
  <c r="V405" i="21"/>
  <c r="V404" i="21"/>
  <c r="V403" i="21"/>
  <c r="V402" i="21"/>
  <c r="V401" i="21"/>
  <c r="V400" i="21"/>
  <c r="V399" i="21"/>
  <c r="V398" i="21"/>
  <c r="V397" i="21"/>
  <c r="V396" i="21"/>
  <c r="V395" i="21"/>
  <c r="V394" i="21"/>
  <c r="V393" i="21"/>
  <c r="V392" i="21"/>
  <c r="V391" i="21"/>
  <c r="V390" i="21"/>
  <c r="V389" i="21"/>
  <c r="V388" i="21"/>
  <c r="V387" i="21"/>
  <c r="V386" i="21"/>
  <c r="V385" i="21"/>
  <c r="V384" i="21"/>
  <c r="V383" i="21"/>
  <c r="V382" i="21"/>
  <c r="V381" i="21"/>
  <c r="V380" i="21"/>
  <c r="V379" i="21"/>
  <c r="V378" i="21"/>
  <c r="V377" i="21"/>
  <c r="V376" i="21"/>
  <c r="V375" i="21"/>
  <c r="V374" i="21"/>
  <c r="V373" i="21"/>
  <c r="V372" i="21"/>
  <c r="V371" i="21"/>
  <c r="V370" i="21"/>
  <c r="V369" i="21"/>
  <c r="V368" i="21"/>
  <c r="V367" i="21"/>
  <c r="V366" i="21"/>
  <c r="V365" i="21"/>
  <c r="V364" i="21"/>
  <c r="V363" i="21"/>
  <c r="V362" i="21"/>
  <c r="V361" i="21"/>
  <c r="V360" i="21"/>
  <c r="V359" i="21"/>
  <c r="V358" i="21"/>
  <c r="V357" i="21"/>
  <c r="V356" i="21"/>
  <c r="V355" i="21"/>
  <c r="V354" i="21"/>
  <c r="V353" i="21"/>
  <c r="V352" i="21"/>
  <c r="V351" i="21"/>
  <c r="V350" i="21"/>
  <c r="V349" i="21"/>
  <c r="V348" i="21"/>
  <c r="V347" i="21"/>
  <c r="V346" i="21"/>
  <c r="V345" i="21"/>
  <c r="V344" i="21"/>
  <c r="V343" i="21"/>
  <c r="V342" i="21"/>
  <c r="V341" i="21"/>
  <c r="V340" i="21"/>
  <c r="V339" i="21"/>
  <c r="V338" i="21"/>
  <c r="V337" i="21"/>
  <c r="V336" i="21"/>
  <c r="V335" i="21"/>
  <c r="V334" i="21"/>
  <c r="V333" i="21"/>
  <c r="V332" i="21"/>
  <c r="V331" i="21"/>
  <c r="V330" i="21"/>
  <c r="V329" i="21"/>
  <c r="V328" i="21"/>
  <c r="V327" i="21"/>
  <c r="V326" i="21"/>
  <c r="V325" i="21"/>
  <c r="V324" i="21"/>
  <c r="V323" i="21"/>
  <c r="V322" i="21"/>
  <c r="V321" i="21"/>
  <c r="V320" i="21"/>
  <c r="V319" i="21"/>
  <c r="V318" i="21"/>
  <c r="V317" i="21"/>
  <c r="V316" i="21"/>
  <c r="V315" i="21"/>
  <c r="V314" i="21"/>
  <c r="V313" i="21"/>
  <c r="V312" i="21"/>
  <c r="V311" i="21"/>
  <c r="V310" i="21"/>
  <c r="V309" i="21"/>
  <c r="V308" i="21"/>
  <c r="V307" i="21"/>
  <c r="V306" i="21"/>
  <c r="V305" i="21"/>
  <c r="V304" i="21"/>
  <c r="V303" i="21"/>
  <c r="V302" i="21"/>
  <c r="V301" i="21"/>
  <c r="V300" i="21"/>
  <c r="V299" i="21"/>
  <c r="V298" i="21"/>
  <c r="V297" i="21"/>
  <c r="V296" i="21"/>
  <c r="V295" i="21"/>
  <c r="V294" i="21"/>
  <c r="V293" i="21"/>
  <c r="V292" i="21"/>
  <c r="V291" i="21"/>
  <c r="V290" i="21"/>
  <c r="V289" i="21"/>
  <c r="V288" i="21"/>
  <c r="V287" i="21"/>
  <c r="V286" i="21"/>
  <c r="V285" i="21"/>
  <c r="V284" i="21"/>
  <c r="V283" i="21"/>
  <c r="V282" i="21"/>
  <c r="V281" i="21"/>
  <c r="V280" i="21"/>
  <c r="V279" i="21"/>
  <c r="V278" i="21"/>
  <c r="V277" i="21"/>
  <c r="V276" i="21"/>
  <c r="V275" i="21"/>
  <c r="V274" i="21"/>
  <c r="V273" i="21"/>
  <c r="V272" i="21"/>
  <c r="V271" i="21"/>
  <c r="V270" i="21"/>
  <c r="V269" i="21"/>
  <c r="V268" i="21"/>
  <c r="V267" i="21"/>
  <c r="V266" i="21"/>
  <c r="V265" i="21"/>
  <c r="V264" i="21"/>
  <c r="V263" i="21"/>
  <c r="V262" i="21"/>
  <c r="V261" i="21"/>
  <c r="V260" i="21"/>
  <c r="V259" i="21"/>
  <c r="V258" i="21"/>
  <c r="V257" i="21"/>
  <c r="V256" i="21"/>
  <c r="V255" i="21"/>
  <c r="V254" i="21"/>
  <c r="V253" i="21"/>
  <c r="V252" i="21"/>
  <c r="V251" i="21"/>
  <c r="V250" i="21"/>
  <c r="V249" i="21"/>
  <c r="V248" i="21"/>
  <c r="V247" i="21"/>
  <c r="V246" i="21"/>
  <c r="V245" i="21"/>
  <c r="V244" i="21"/>
  <c r="V243" i="21"/>
  <c r="V242" i="21"/>
  <c r="V241" i="21"/>
  <c r="V240" i="21"/>
  <c r="V239" i="21"/>
  <c r="V238" i="21"/>
  <c r="V237" i="21"/>
  <c r="V236" i="21"/>
  <c r="V235" i="21"/>
  <c r="V234" i="21"/>
  <c r="V233" i="21"/>
  <c r="V232" i="21"/>
  <c r="V231" i="21"/>
  <c r="V230" i="21"/>
  <c r="V229" i="21"/>
  <c r="V228" i="21"/>
  <c r="V227" i="21"/>
  <c r="V226" i="21"/>
  <c r="V225" i="21"/>
  <c r="V224" i="21"/>
  <c r="V223" i="21"/>
  <c r="V222" i="21"/>
  <c r="V221" i="21"/>
  <c r="V220" i="21"/>
  <c r="V219" i="21"/>
  <c r="V218" i="21"/>
  <c r="V217" i="21"/>
  <c r="V216" i="21"/>
  <c r="V215" i="21"/>
  <c r="V214" i="21"/>
  <c r="V213" i="21"/>
  <c r="V212" i="21"/>
  <c r="V211" i="21"/>
  <c r="V210" i="21"/>
  <c r="V209" i="21"/>
  <c r="V208" i="21"/>
  <c r="V207" i="21"/>
  <c r="V206" i="21"/>
  <c r="V205" i="21"/>
  <c r="V204" i="21"/>
  <c r="V203" i="21"/>
  <c r="V202" i="21"/>
  <c r="V201" i="21"/>
  <c r="V200" i="21"/>
  <c r="V199" i="21"/>
  <c r="V198" i="21"/>
  <c r="V197" i="21"/>
  <c r="V196" i="21"/>
  <c r="V195" i="21"/>
  <c r="V194" i="21"/>
  <c r="V193" i="21"/>
  <c r="V192" i="21"/>
  <c r="V191" i="21"/>
  <c r="V190" i="21"/>
  <c r="V189" i="21"/>
  <c r="V188" i="21"/>
  <c r="V187" i="21"/>
  <c r="V186" i="21"/>
  <c r="V185" i="21"/>
  <c r="V184" i="21"/>
  <c r="V183" i="21"/>
  <c r="V182" i="21"/>
  <c r="V181" i="21"/>
  <c r="V180" i="21"/>
  <c r="V179" i="21"/>
  <c r="V178" i="21"/>
  <c r="V177" i="21"/>
  <c r="V176" i="21"/>
  <c r="V175" i="21"/>
  <c r="V174" i="21"/>
  <c r="V173" i="21"/>
  <c r="V172" i="21"/>
  <c r="V171" i="21"/>
  <c r="V170" i="21"/>
  <c r="V169" i="21"/>
  <c r="V168" i="21"/>
  <c r="V167" i="21"/>
  <c r="V166" i="21"/>
  <c r="V165" i="21"/>
  <c r="V164" i="21"/>
  <c r="V163" i="21"/>
  <c r="V162" i="21"/>
  <c r="V161" i="21"/>
  <c r="V160" i="21"/>
  <c r="V159" i="21"/>
  <c r="V158" i="21"/>
  <c r="V157" i="21"/>
  <c r="V156" i="21"/>
  <c r="V155" i="21"/>
  <c r="V154" i="21"/>
  <c r="V153" i="21"/>
  <c r="V152" i="21"/>
  <c r="V151" i="21"/>
  <c r="V150" i="21"/>
  <c r="V149" i="21"/>
  <c r="V148" i="21"/>
  <c r="V147" i="21"/>
  <c r="V146" i="21"/>
  <c r="V145" i="21"/>
  <c r="V144" i="21"/>
  <c r="V143" i="21"/>
  <c r="V142" i="21"/>
  <c r="V141" i="21"/>
  <c r="V140" i="21"/>
  <c r="V139" i="21"/>
  <c r="V138" i="21"/>
  <c r="V137" i="21"/>
  <c r="V136" i="21"/>
  <c r="V135" i="21"/>
  <c r="V134" i="21"/>
  <c r="V133" i="21"/>
  <c r="V132" i="21"/>
  <c r="V131" i="21"/>
  <c r="V130" i="21"/>
  <c r="V129" i="21"/>
  <c r="V128" i="21"/>
  <c r="V127" i="21"/>
  <c r="V126" i="21"/>
  <c r="V125" i="21"/>
  <c r="V124" i="21"/>
  <c r="V123" i="21"/>
  <c r="V122" i="21"/>
  <c r="V121" i="21"/>
  <c r="V120" i="21"/>
  <c r="V119" i="21"/>
  <c r="V118" i="21"/>
  <c r="V117" i="21"/>
  <c r="V116" i="21"/>
  <c r="V115" i="21"/>
  <c r="V114" i="21"/>
  <c r="V113" i="21"/>
  <c r="V112" i="21"/>
  <c r="V111" i="21"/>
  <c r="V110" i="21"/>
  <c r="V109" i="21"/>
  <c r="V108" i="21"/>
  <c r="V107" i="21"/>
  <c r="V106" i="21"/>
  <c r="V105" i="21"/>
  <c r="V104" i="21"/>
  <c r="V103" i="21"/>
  <c r="V102" i="21"/>
  <c r="V101" i="21"/>
  <c r="V100" i="21"/>
  <c r="V99" i="21"/>
  <c r="V98" i="21"/>
  <c r="V97" i="21"/>
  <c r="V96" i="21"/>
  <c r="V95" i="21"/>
  <c r="V94" i="21"/>
  <c r="V93" i="21"/>
  <c r="V92" i="21"/>
  <c r="V91" i="21"/>
  <c r="V90" i="21"/>
  <c r="V89" i="21"/>
  <c r="V88" i="21"/>
  <c r="V87" i="21"/>
  <c r="V86" i="21"/>
  <c r="V85" i="21"/>
  <c r="V84" i="21"/>
  <c r="V83" i="21"/>
  <c r="V82" i="21"/>
  <c r="V81" i="21"/>
  <c r="V80" i="21"/>
  <c r="V79" i="21"/>
  <c r="V78" i="21"/>
  <c r="V77" i="21"/>
  <c r="V76" i="21"/>
  <c r="V75" i="21"/>
  <c r="V74" i="21"/>
  <c r="V73" i="21"/>
  <c r="V72" i="21"/>
  <c r="V71" i="21"/>
  <c r="V70" i="21"/>
  <c r="V69" i="21"/>
  <c r="V68" i="21"/>
  <c r="V67" i="21"/>
  <c r="V66" i="21"/>
  <c r="V65" i="21"/>
  <c r="V64" i="21"/>
  <c r="V63" i="21"/>
  <c r="V62" i="21"/>
  <c r="V61" i="21"/>
  <c r="V60" i="21"/>
  <c r="V59" i="21"/>
  <c r="V58" i="21"/>
  <c r="V57" i="21"/>
  <c r="V56" i="21"/>
  <c r="V55" i="21"/>
  <c r="V54" i="21"/>
  <c r="V53" i="21"/>
  <c r="V52" i="21"/>
  <c r="V51" i="21"/>
  <c r="V50" i="21"/>
  <c r="V49" i="21"/>
  <c r="V48" i="21"/>
  <c r="V47" i="21"/>
  <c r="V46" i="21"/>
  <c r="V45" i="21"/>
  <c r="V44" i="21"/>
  <c r="V43" i="21"/>
  <c r="V42" i="21"/>
  <c r="V41" i="21"/>
  <c r="V40" i="21"/>
  <c r="V39" i="21"/>
  <c r="V38" i="21"/>
  <c r="V37" i="21"/>
  <c r="V36" i="21"/>
  <c r="V35" i="21"/>
  <c r="V34" i="21"/>
  <c r="V33" i="21"/>
  <c r="V32" i="21"/>
  <c r="V31" i="21"/>
  <c r="V30" i="21"/>
  <c r="V29" i="21"/>
  <c r="V28" i="21"/>
  <c r="V27" i="21"/>
  <c r="V26" i="21"/>
  <c r="V25" i="21"/>
  <c r="V24" i="21"/>
  <c r="V23" i="21"/>
  <c r="V22" i="21"/>
  <c r="V21" i="21"/>
  <c r="V20" i="21"/>
  <c r="V19" i="21"/>
  <c r="V18" i="21"/>
  <c r="V17" i="21"/>
  <c r="V16" i="21"/>
  <c r="V15" i="21"/>
  <c r="V14" i="21"/>
  <c r="V13" i="21"/>
  <c r="V12" i="21"/>
  <c r="V11" i="21"/>
  <c r="V10" i="21"/>
  <c r="V9" i="21"/>
  <c r="S859" i="21" l="1"/>
  <c r="R859" i="21"/>
  <c r="Q859" i="21"/>
  <c r="Q276" i="21" l="1"/>
  <c r="R276" i="21"/>
  <c r="S276" i="21"/>
  <c r="S165" i="21"/>
  <c r="R165" i="21"/>
  <c r="Q165" i="21"/>
  <c r="S392" i="21" l="1"/>
  <c r="R392" i="21"/>
  <c r="Q392" i="21"/>
  <c r="S429" i="21" l="1"/>
  <c r="R429" i="21"/>
  <c r="Q429" i="21"/>
  <c r="S428" i="21"/>
  <c r="R428" i="21"/>
  <c r="Q428" i="21"/>
  <c r="S425" i="21"/>
  <c r="R425" i="21"/>
  <c r="Q425" i="21"/>
  <c r="S424" i="21"/>
  <c r="R424" i="21"/>
  <c r="Q424" i="21"/>
  <c r="S401" i="21"/>
  <c r="R401" i="21"/>
  <c r="Q401" i="21"/>
  <c r="S400" i="21"/>
  <c r="R400" i="21"/>
  <c r="Q400" i="21"/>
  <c r="S393" i="21"/>
  <c r="R393" i="21"/>
  <c r="Q393" i="21"/>
  <c r="P873" i="21" l="1"/>
  <c r="S114" i="21" l="1"/>
  <c r="R114" i="21"/>
  <c r="Q114" i="21"/>
  <c r="P114" i="21"/>
  <c r="AA9" i="21"/>
  <c r="AB9" i="21" s="1"/>
  <c r="AA10" i="21"/>
  <c r="AB10" i="21" s="1"/>
  <c r="AA11" i="21"/>
  <c r="AB11" i="21" s="1"/>
  <c r="AA12" i="21"/>
  <c r="AB12" i="21" s="1"/>
  <c r="AA13" i="21"/>
  <c r="AB13" i="21" s="1"/>
  <c r="AA14" i="21"/>
  <c r="AB14" i="21" s="1"/>
  <c r="AA15" i="21"/>
  <c r="AB15" i="21" s="1"/>
  <c r="AA16" i="21"/>
  <c r="AB16" i="21" s="1"/>
  <c r="AA17" i="21"/>
  <c r="AB17" i="21" s="1"/>
  <c r="AA18" i="21"/>
  <c r="AB18" i="21" s="1"/>
  <c r="AA19" i="21"/>
  <c r="AB19" i="21" s="1"/>
  <c r="AA20" i="21"/>
  <c r="AB20" i="21" s="1"/>
  <c r="AA21" i="21"/>
  <c r="AB21" i="21" s="1"/>
  <c r="AA22" i="21"/>
  <c r="AB22" i="21" s="1"/>
  <c r="AA23" i="21"/>
  <c r="AB23" i="21" s="1"/>
  <c r="AA24" i="21"/>
  <c r="AB24" i="21" s="1"/>
  <c r="AA25" i="21"/>
  <c r="AB25" i="21" s="1"/>
  <c r="AA26" i="21"/>
  <c r="AB26" i="21" s="1"/>
  <c r="AA27" i="21"/>
  <c r="AB27" i="21" s="1"/>
  <c r="AA28" i="21"/>
  <c r="AB28" i="21" s="1"/>
  <c r="AA29" i="21"/>
  <c r="AB29" i="21" s="1"/>
  <c r="AA30" i="21"/>
  <c r="AB30" i="21" s="1"/>
  <c r="AA31" i="21"/>
  <c r="AB31" i="21" s="1"/>
  <c r="AA32" i="21"/>
  <c r="AB32" i="21" s="1"/>
  <c r="AA33" i="21"/>
  <c r="AB33" i="21" s="1"/>
  <c r="AA34" i="21"/>
  <c r="AB34" i="21" s="1"/>
  <c r="AA35" i="21"/>
  <c r="AB35" i="21" s="1"/>
  <c r="AA36" i="21"/>
  <c r="AB36" i="21" s="1"/>
  <c r="AA37" i="21"/>
  <c r="AB37" i="21" s="1"/>
  <c r="AA38" i="21"/>
  <c r="AB38" i="21" s="1"/>
  <c r="AA39" i="21"/>
  <c r="AB39" i="21" s="1"/>
  <c r="AA40" i="21"/>
  <c r="AB40" i="21" s="1"/>
  <c r="AA41" i="21"/>
  <c r="AB41" i="21" s="1"/>
  <c r="AA42" i="21"/>
  <c r="AB42" i="21" s="1"/>
  <c r="AA43" i="21"/>
  <c r="AB43" i="21" s="1"/>
  <c r="AA44" i="21"/>
  <c r="AB44" i="21" s="1"/>
  <c r="AA45" i="21"/>
  <c r="AB45" i="21" s="1"/>
  <c r="AA46" i="21"/>
  <c r="AB46" i="21" s="1"/>
  <c r="AA47" i="21"/>
  <c r="AB47" i="21" s="1"/>
  <c r="AA48" i="21"/>
  <c r="AB48" i="21" s="1"/>
  <c r="AA49" i="21"/>
  <c r="AB49" i="21" s="1"/>
  <c r="AA50" i="21"/>
  <c r="AB50" i="21" s="1"/>
  <c r="AA51" i="21"/>
  <c r="AB51" i="21" s="1"/>
  <c r="AA52" i="21"/>
  <c r="AB52" i="21" s="1"/>
  <c r="AA53" i="21"/>
  <c r="AB53" i="21" s="1"/>
  <c r="AA54" i="21"/>
  <c r="AB54" i="21" s="1"/>
  <c r="AA55" i="21"/>
  <c r="AB55" i="21" s="1"/>
  <c r="AA56" i="21"/>
  <c r="AB56" i="21" s="1"/>
  <c r="AA57" i="21"/>
  <c r="AB57" i="21" s="1"/>
  <c r="AA58" i="21"/>
  <c r="AB58" i="21" s="1"/>
  <c r="AA59" i="21"/>
  <c r="AB59" i="21" s="1"/>
  <c r="AA60" i="21"/>
  <c r="AB60" i="21" s="1"/>
  <c r="AA61" i="21"/>
  <c r="AB61" i="21" s="1"/>
  <c r="AA62" i="21"/>
  <c r="AB62" i="21" s="1"/>
  <c r="AA63" i="21"/>
  <c r="AB63" i="21" s="1"/>
  <c r="AA64" i="21"/>
  <c r="AB64" i="21" s="1"/>
  <c r="AA65" i="21"/>
  <c r="AB65" i="21" s="1"/>
  <c r="AA66" i="21"/>
  <c r="AB66" i="21" s="1"/>
  <c r="AA67" i="21"/>
  <c r="AB67" i="21" s="1"/>
  <c r="AA68" i="21"/>
  <c r="AB68" i="21" s="1"/>
  <c r="AA69" i="21"/>
  <c r="AB69" i="21" s="1"/>
  <c r="AA70" i="21"/>
  <c r="AB70" i="21" s="1"/>
  <c r="AA71" i="21"/>
  <c r="AB71" i="21" s="1"/>
  <c r="AA72" i="21"/>
  <c r="AB72" i="21" s="1"/>
  <c r="AA73" i="21"/>
  <c r="AB73" i="21" s="1"/>
  <c r="AA74" i="21"/>
  <c r="AB74" i="21" s="1"/>
  <c r="AA75" i="21"/>
  <c r="AB75" i="21" s="1"/>
  <c r="AA76" i="21"/>
  <c r="AB76" i="21" s="1"/>
  <c r="AA77" i="21"/>
  <c r="AB77" i="21" s="1"/>
  <c r="AA78" i="21"/>
  <c r="AB78" i="21" s="1"/>
  <c r="AA79" i="21"/>
  <c r="AB79" i="21" s="1"/>
  <c r="AA80" i="21"/>
  <c r="AB80" i="21" s="1"/>
  <c r="AA81" i="21"/>
  <c r="AB81" i="21" s="1"/>
  <c r="AA82" i="21"/>
  <c r="AB82" i="21" s="1"/>
  <c r="AA83" i="21"/>
  <c r="AB83" i="21" s="1"/>
  <c r="AA84" i="21"/>
  <c r="AB84" i="21" s="1"/>
  <c r="AA85" i="21"/>
  <c r="AB85" i="21" s="1"/>
  <c r="AA86" i="21"/>
  <c r="AB86" i="21" s="1"/>
  <c r="AA87" i="21"/>
  <c r="AB87" i="21" s="1"/>
  <c r="AA88" i="21"/>
  <c r="AB88" i="21" s="1"/>
  <c r="AA89" i="21"/>
  <c r="AB89" i="21" s="1"/>
  <c r="AA90" i="21"/>
  <c r="AB90" i="21" s="1"/>
  <c r="AA91" i="21"/>
  <c r="AB91" i="21" s="1"/>
  <c r="AA92" i="21"/>
  <c r="AB92" i="21" s="1"/>
  <c r="AA93" i="21"/>
  <c r="AB93" i="21" s="1"/>
  <c r="AA94" i="21"/>
  <c r="AB94" i="21" s="1"/>
  <c r="AA95" i="21"/>
  <c r="AB95" i="21" s="1"/>
  <c r="AA96" i="21"/>
  <c r="AB96" i="21" s="1"/>
  <c r="AA97" i="21"/>
  <c r="AB97" i="21" s="1"/>
  <c r="AA98" i="21"/>
  <c r="AB98" i="21" s="1"/>
  <c r="AA99" i="21"/>
  <c r="AB99" i="21" s="1"/>
  <c r="AA100" i="21"/>
  <c r="AB100" i="21" s="1"/>
  <c r="AA101" i="21"/>
  <c r="AB101" i="21" s="1"/>
  <c r="AA102" i="21"/>
  <c r="AB102" i="21" s="1"/>
  <c r="AA103" i="21"/>
  <c r="AB103" i="21" s="1"/>
  <c r="AA104" i="21"/>
  <c r="AB104" i="21" s="1"/>
  <c r="AA105" i="21"/>
  <c r="AB105" i="21" s="1"/>
  <c r="AA106" i="21"/>
  <c r="AB106" i="21" s="1"/>
  <c r="AA107" i="21"/>
  <c r="AB107" i="21" s="1"/>
  <c r="AA108" i="21"/>
  <c r="AB108" i="21" s="1"/>
  <c r="AA109" i="21"/>
  <c r="AB109" i="21" s="1"/>
  <c r="AA110" i="21"/>
  <c r="AB110" i="21" s="1"/>
  <c r="AA111" i="21"/>
  <c r="AB111" i="21" s="1"/>
  <c r="AA112" i="21"/>
  <c r="AB112" i="21" s="1"/>
  <c r="AA113" i="21"/>
  <c r="AB113" i="21" s="1"/>
  <c r="AA114" i="21"/>
  <c r="AA115" i="21"/>
  <c r="AB115" i="21" s="1"/>
  <c r="AA116" i="21"/>
  <c r="AB116" i="21" s="1"/>
  <c r="AA117" i="21"/>
  <c r="AB117" i="21" s="1"/>
  <c r="AA118" i="21"/>
  <c r="AB118" i="21" s="1"/>
  <c r="AA119" i="21"/>
  <c r="AB119" i="21" s="1"/>
  <c r="AA120" i="21"/>
  <c r="AB120" i="21" s="1"/>
  <c r="AA121" i="21"/>
  <c r="AB121" i="21" s="1"/>
  <c r="AA122" i="21"/>
  <c r="AB122" i="21" s="1"/>
  <c r="AA123" i="21"/>
  <c r="AB123" i="21" s="1"/>
  <c r="AA124" i="21"/>
  <c r="AB124" i="21" s="1"/>
  <c r="AA125" i="21"/>
  <c r="AB125" i="21" s="1"/>
  <c r="AA126" i="21"/>
  <c r="AB126" i="21" s="1"/>
  <c r="AA127" i="21"/>
  <c r="AB127" i="21" s="1"/>
  <c r="AA128" i="21"/>
  <c r="AB128" i="21" s="1"/>
  <c r="AA129" i="21"/>
  <c r="AB129" i="21" s="1"/>
  <c r="AA130" i="21"/>
  <c r="AB130" i="21" s="1"/>
  <c r="AA131" i="21"/>
  <c r="AB131" i="21" s="1"/>
  <c r="AA132" i="21"/>
  <c r="AB132" i="21" s="1"/>
  <c r="AA133" i="21"/>
  <c r="AB133" i="21" s="1"/>
  <c r="AA134" i="21"/>
  <c r="AB134" i="21" s="1"/>
  <c r="AA135" i="21"/>
  <c r="AB135" i="21" s="1"/>
  <c r="AA136" i="21"/>
  <c r="AB136" i="21" s="1"/>
  <c r="AA137" i="21"/>
  <c r="AB137" i="21" s="1"/>
  <c r="AA138" i="21"/>
  <c r="AB138" i="21" s="1"/>
  <c r="AA139" i="21"/>
  <c r="AB139" i="21" s="1"/>
  <c r="AA140" i="21"/>
  <c r="AB140" i="21" s="1"/>
  <c r="AA141" i="21"/>
  <c r="AB141" i="21" s="1"/>
  <c r="AA142" i="21"/>
  <c r="AB142" i="21" s="1"/>
  <c r="AA143" i="21"/>
  <c r="AB143" i="21" s="1"/>
  <c r="AA144" i="21"/>
  <c r="AB144" i="21" s="1"/>
  <c r="AA145" i="21"/>
  <c r="AB145" i="21" s="1"/>
  <c r="AA146" i="21"/>
  <c r="AB146" i="21" s="1"/>
  <c r="AA147" i="21"/>
  <c r="AB147" i="21" s="1"/>
  <c r="AA148" i="21"/>
  <c r="AB148" i="21" s="1"/>
  <c r="AA149" i="21"/>
  <c r="AB149" i="21" s="1"/>
  <c r="AA150" i="21"/>
  <c r="AB150" i="21" s="1"/>
  <c r="AA151" i="21"/>
  <c r="AB151" i="21" s="1"/>
  <c r="AA152" i="21"/>
  <c r="AB152" i="21" s="1"/>
  <c r="AA153" i="21"/>
  <c r="AB153" i="21" s="1"/>
  <c r="AA154" i="21"/>
  <c r="AB154" i="21" s="1"/>
  <c r="AA155" i="21"/>
  <c r="AB155" i="21" s="1"/>
  <c r="AA156" i="21"/>
  <c r="AB156" i="21" s="1"/>
  <c r="AA157" i="21"/>
  <c r="AB157" i="21" s="1"/>
  <c r="AA158" i="21"/>
  <c r="AB158" i="21" s="1"/>
  <c r="AA159" i="21"/>
  <c r="AB159" i="21" s="1"/>
  <c r="AA160" i="21"/>
  <c r="AB160" i="21" s="1"/>
  <c r="AA161" i="21"/>
  <c r="AB161" i="21" s="1"/>
  <c r="AA162" i="21"/>
  <c r="AB162" i="21" s="1"/>
  <c r="AA163" i="21"/>
  <c r="AB163" i="21" s="1"/>
  <c r="AA164" i="21"/>
  <c r="AB164" i="21" s="1"/>
  <c r="AA165" i="21"/>
  <c r="AB165" i="21" s="1"/>
  <c r="AA166" i="21"/>
  <c r="AB166" i="21" s="1"/>
  <c r="AA167" i="21"/>
  <c r="AB167" i="21" s="1"/>
  <c r="AA168" i="21"/>
  <c r="AB168" i="21" s="1"/>
  <c r="AA169" i="21"/>
  <c r="AB169" i="21" s="1"/>
  <c r="AA170" i="21"/>
  <c r="AB170" i="21" s="1"/>
  <c r="AA171" i="21"/>
  <c r="AB171" i="21" s="1"/>
  <c r="AA172" i="21"/>
  <c r="AB172" i="21" s="1"/>
  <c r="AA173" i="21"/>
  <c r="AB173" i="21" s="1"/>
  <c r="AA174" i="21"/>
  <c r="AB174" i="21" s="1"/>
  <c r="AA175" i="21"/>
  <c r="AB175" i="21" s="1"/>
  <c r="AA176" i="21"/>
  <c r="AB176" i="21" s="1"/>
  <c r="AA177" i="21"/>
  <c r="AB177" i="21" s="1"/>
  <c r="AA178" i="21"/>
  <c r="AB178" i="21" s="1"/>
  <c r="AA179" i="21"/>
  <c r="AB179" i="21" s="1"/>
  <c r="AA180" i="21"/>
  <c r="AB180" i="21" s="1"/>
  <c r="AA181" i="21"/>
  <c r="AB181" i="21" s="1"/>
  <c r="AA182" i="21"/>
  <c r="AB182" i="21" s="1"/>
  <c r="AA183" i="21"/>
  <c r="AB183" i="21" s="1"/>
  <c r="AA184" i="21"/>
  <c r="AB184" i="21" s="1"/>
  <c r="AA185" i="21"/>
  <c r="AB185" i="21" s="1"/>
  <c r="AA186" i="21"/>
  <c r="AB186" i="21" s="1"/>
  <c r="AA187" i="21"/>
  <c r="AB187" i="21" s="1"/>
  <c r="AA188" i="21"/>
  <c r="AB188" i="21" s="1"/>
  <c r="AA189" i="21"/>
  <c r="AB189" i="21" s="1"/>
  <c r="AA190" i="21"/>
  <c r="AB190" i="21" s="1"/>
  <c r="AA191" i="21"/>
  <c r="AB191" i="21" s="1"/>
  <c r="AA192" i="21"/>
  <c r="AB192" i="21" s="1"/>
  <c r="AA193" i="21"/>
  <c r="AB193" i="21" s="1"/>
  <c r="AA194" i="21"/>
  <c r="AB194" i="21" s="1"/>
  <c r="AA195" i="21"/>
  <c r="AB195" i="21" s="1"/>
  <c r="AA196" i="21"/>
  <c r="AB196" i="21" s="1"/>
  <c r="AA197" i="21"/>
  <c r="AB197" i="21" s="1"/>
  <c r="AA198" i="21"/>
  <c r="AB198" i="21" s="1"/>
  <c r="AA199" i="21"/>
  <c r="AB199" i="21" s="1"/>
  <c r="AA200" i="21"/>
  <c r="AB200" i="21" s="1"/>
  <c r="AA201" i="21"/>
  <c r="AB201" i="21" s="1"/>
  <c r="AA202" i="21"/>
  <c r="AB202" i="21" s="1"/>
  <c r="AA203" i="21"/>
  <c r="AB203" i="21" s="1"/>
  <c r="AA204" i="21"/>
  <c r="AB204" i="21" s="1"/>
  <c r="AA205" i="21"/>
  <c r="AB205" i="21" s="1"/>
  <c r="AA206" i="21"/>
  <c r="AB206" i="21" s="1"/>
  <c r="AA207" i="21"/>
  <c r="AB207" i="21" s="1"/>
  <c r="AA208" i="21"/>
  <c r="AB208" i="21" s="1"/>
  <c r="AA209" i="21"/>
  <c r="AB209" i="21" s="1"/>
  <c r="AA210" i="21"/>
  <c r="AB210" i="21" s="1"/>
  <c r="AA211" i="21"/>
  <c r="AB211" i="21" s="1"/>
  <c r="AA212" i="21"/>
  <c r="AB212" i="21" s="1"/>
  <c r="AA213" i="21"/>
  <c r="AB213" i="21" s="1"/>
  <c r="AA214" i="21"/>
  <c r="AB214" i="21" s="1"/>
  <c r="AA215" i="21"/>
  <c r="AB215" i="21" s="1"/>
  <c r="AA216" i="21"/>
  <c r="AB216" i="21" s="1"/>
  <c r="AA217" i="21"/>
  <c r="AB217" i="21" s="1"/>
  <c r="AA218" i="21"/>
  <c r="AB218" i="21" s="1"/>
  <c r="AA219" i="21"/>
  <c r="AB219" i="21" s="1"/>
  <c r="AA220" i="21"/>
  <c r="AB220" i="21" s="1"/>
  <c r="AA221" i="21"/>
  <c r="AB221" i="21" s="1"/>
  <c r="AA222" i="21"/>
  <c r="AB222" i="21" s="1"/>
  <c r="AA223" i="21"/>
  <c r="AB223" i="21" s="1"/>
  <c r="AA224" i="21"/>
  <c r="AB224" i="21" s="1"/>
  <c r="AA225" i="21"/>
  <c r="AB225" i="21" s="1"/>
  <c r="AA226" i="21"/>
  <c r="AB226" i="21" s="1"/>
  <c r="AA227" i="21"/>
  <c r="AB227" i="21" s="1"/>
  <c r="AA228" i="21"/>
  <c r="AB228" i="21" s="1"/>
  <c r="AA229" i="21"/>
  <c r="AB229" i="21" s="1"/>
  <c r="AA230" i="21"/>
  <c r="AB230" i="21" s="1"/>
  <c r="AA231" i="21"/>
  <c r="AB231" i="21" s="1"/>
  <c r="AA232" i="21"/>
  <c r="AB232" i="21" s="1"/>
  <c r="AA233" i="21"/>
  <c r="AB233" i="21" s="1"/>
  <c r="AA234" i="21"/>
  <c r="AB234" i="21" s="1"/>
  <c r="AA235" i="21"/>
  <c r="AB235" i="21" s="1"/>
  <c r="AA236" i="21"/>
  <c r="AB236" i="21" s="1"/>
  <c r="AA237" i="21"/>
  <c r="AB237" i="21" s="1"/>
  <c r="AA238" i="21"/>
  <c r="AB238" i="21" s="1"/>
  <c r="AA239" i="21"/>
  <c r="AB239" i="21" s="1"/>
  <c r="AA240" i="21"/>
  <c r="AB240" i="21" s="1"/>
  <c r="AA241" i="21"/>
  <c r="AB241" i="21" s="1"/>
  <c r="AA242" i="21"/>
  <c r="AB242" i="21" s="1"/>
  <c r="AA243" i="21"/>
  <c r="AB243" i="21" s="1"/>
  <c r="AA244" i="21"/>
  <c r="AB244" i="21" s="1"/>
  <c r="AA245" i="21"/>
  <c r="AB245" i="21" s="1"/>
  <c r="AA246" i="21"/>
  <c r="AB246" i="21" s="1"/>
  <c r="AA247" i="21"/>
  <c r="AB247" i="21" s="1"/>
  <c r="AA248" i="21"/>
  <c r="AB248" i="21" s="1"/>
  <c r="AA249" i="21"/>
  <c r="AB249" i="21" s="1"/>
  <c r="AA250" i="21"/>
  <c r="AB250" i="21" s="1"/>
  <c r="AA251" i="21"/>
  <c r="AB251" i="21" s="1"/>
  <c r="AA252" i="21"/>
  <c r="AB252" i="21" s="1"/>
  <c r="AA253" i="21"/>
  <c r="AB253" i="21" s="1"/>
  <c r="AA254" i="21"/>
  <c r="AB254" i="21" s="1"/>
  <c r="AA255" i="21"/>
  <c r="AB255" i="21" s="1"/>
  <c r="AA256" i="21"/>
  <c r="AB256" i="21" s="1"/>
  <c r="AA257" i="21"/>
  <c r="AB257" i="21" s="1"/>
  <c r="AA258" i="21"/>
  <c r="AB258" i="21" s="1"/>
  <c r="AA259" i="21"/>
  <c r="AB259" i="21" s="1"/>
  <c r="AA260" i="21"/>
  <c r="AB260" i="21" s="1"/>
  <c r="AA261" i="21"/>
  <c r="AB261" i="21" s="1"/>
  <c r="AA262" i="21"/>
  <c r="AB262" i="21" s="1"/>
  <c r="AA263" i="21"/>
  <c r="AB263" i="21" s="1"/>
  <c r="AA264" i="21"/>
  <c r="AB264" i="21" s="1"/>
  <c r="AA265" i="21"/>
  <c r="AB265" i="21" s="1"/>
  <c r="AA266" i="21"/>
  <c r="AB266" i="21" s="1"/>
  <c r="AA267" i="21"/>
  <c r="AB267" i="21" s="1"/>
  <c r="AA268" i="21"/>
  <c r="AB268" i="21" s="1"/>
  <c r="AA269" i="21"/>
  <c r="AB269" i="21" s="1"/>
  <c r="AA270" i="21"/>
  <c r="AB270" i="21" s="1"/>
  <c r="AA271" i="21"/>
  <c r="AB271" i="21" s="1"/>
  <c r="AA272" i="21"/>
  <c r="AB272" i="21" s="1"/>
  <c r="AA273" i="21"/>
  <c r="AB273" i="21" s="1"/>
  <c r="AA274" i="21"/>
  <c r="AB274" i="21" s="1"/>
  <c r="AA275" i="21"/>
  <c r="AB275" i="21" s="1"/>
  <c r="AA276" i="21"/>
  <c r="AB276" i="21" s="1"/>
  <c r="AA277" i="21"/>
  <c r="AB277" i="21" s="1"/>
  <c r="AA278" i="21"/>
  <c r="AB278" i="21" s="1"/>
  <c r="AA279" i="21"/>
  <c r="AB279" i="21" s="1"/>
  <c r="AA280" i="21"/>
  <c r="AB280" i="21" s="1"/>
  <c r="AA281" i="21"/>
  <c r="AB281" i="21" s="1"/>
  <c r="AA282" i="21"/>
  <c r="AB282" i="21" s="1"/>
  <c r="AA283" i="21"/>
  <c r="AB283" i="21" s="1"/>
  <c r="AA284" i="21"/>
  <c r="AB284" i="21" s="1"/>
  <c r="AA285" i="21"/>
  <c r="AB285" i="21" s="1"/>
  <c r="AA286" i="21"/>
  <c r="AB286" i="21" s="1"/>
  <c r="AA287" i="21"/>
  <c r="AB287" i="21" s="1"/>
  <c r="AA288" i="21"/>
  <c r="AB288" i="21" s="1"/>
  <c r="AA289" i="21"/>
  <c r="AB289" i="21" s="1"/>
  <c r="AA290" i="21"/>
  <c r="AB290" i="21" s="1"/>
  <c r="AA291" i="21"/>
  <c r="AB291" i="21" s="1"/>
  <c r="AA292" i="21"/>
  <c r="AB292" i="21" s="1"/>
  <c r="AA293" i="21"/>
  <c r="AB293" i="21" s="1"/>
  <c r="AA294" i="21"/>
  <c r="AB294" i="21" s="1"/>
  <c r="AA295" i="21"/>
  <c r="AB295" i="21" s="1"/>
  <c r="AA296" i="21"/>
  <c r="AB296" i="21" s="1"/>
  <c r="AA297" i="21"/>
  <c r="AB297" i="21" s="1"/>
  <c r="AA298" i="21"/>
  <c r="AB298" i="21" s="1"/>
  <c r="AA299" i="21"/>
  <c r="AB299" i="21" s="1"/>
  <c r="AA300" i="21"/>
  <c r="AB300" i="21" s="1"/>
  <c r="AA301" i="21"/>
  <c r="AB301" i="21" s="1"/>
  <c r="AA302" i="21"/>
  <c r="AB302" i="21" s="1"/>
  <c r="AA303" i="21"/>
  <c r="AB303" i="21" s="1"/>
  <c r="AA304" i="21"/>
  <c r="AB304" i="21" s="1"/>
  <c r="AA305" i="21"/>
  <c r="AB305" i="21" s="1"/>
  <c r="AA306" i="21"/>
  <c r="AB306" i="21" s="1"/>
  <c r="AA307" i="21"/>
  <c r="AB307" i="21" s="1"/>
  <c r="AA308" i="21"/>
  <c r="AB308" i="21" s="1"/>
  <c r="AA309" i="21"/>
  <c r="AB309" i="21" s="1"/>
  <c r="AA310" i="21"/>
  <c r="AB310" i="21" s="1"/>
  <c r="AA311" i="21"/>
  <c r="AB311" i="21" s="1"/>
  <c r="AA312" i="21"/>
  <c r="AB312" i="21" s="1"/>
  <c r="AA313" i="21"/>
  <c r="AB313" i="21" s="1"/>
  <c r="AA314" i="21"/>
  <c r="AB314" i="21" s="1"/>
  <c r="AA315" i="21"/>
  <c r="AB315" i="21" s="1"/>
  <c r="AA316" i="21"/>
  <c r="AB316" i="21" s="1"/>
  <c r="AA317" i="21"/>
  <c r="AB317" i="21" s="1"/>
  <c r="AA318" i="21"/>
  <c r="AB318" i="21" s="1"/>
  <c r="AA319" i="21"/>
  <c r="AB319" i="21" s="1"/>
  <c r="AA320" i="21"/>
  <c r="AB320" i="21" s="1"/>
  <c r="AA321" i="21"/>
  <c r="AB321" i="21" s="1"/>
  <c r="AA322" i="21"/>
  <c r="AB322" i="21" s="1"/>
  <c r="AA323" i="21"/>
  <c r="AB323" i="21" s="1"/>
  <c r="AA324" i="21"/>
  <c r="AB324" i="21" s="1"/>
  <c r="AA325" i="21"/>
  <c r="AB325" i="21" s="1"/>
  <c r="AA326" i="21"/>
  <c r="AB326" i="21" s="1"/>
  <c r="AA327" i="21"/>
  <c r="AB327" i="21" s="1"/>
  <c r="AA328" i="21"/>
  <c r="AB328" i="21" s="1"/>
  <c r="AA329" i="21"/>
  <c r="AB329" i="21" s="1"/>
  <c r="AA330" i="21"/>
  <c r="AB330" i="21" s="1"/>
  <c r="AA331" i="21"/>
  <c r="AB331" i="21" s="1"/>
  <c r="AA332" i="21"/>
  <c r="AB332" i="21" s="1"/>
  <c r="AA333" i="21"/>
  <c r="AB333" i="21" s="1"/>
  <c r="AA334" i="21"/>
  <c r="AB334" i="21" s="1"/>
  <c r="AA335" i="21"/>
  <c r="AB335" i="21" s="1"/>
  <c r="AA336" i="21"/>
  <c r="AB336" i="21" s="1"/>
  <c r="AA337" i="21"/>
  <c r="AB337" i="21" s="1"/>
  <c r="AA338" i="21"/>
  <c r="AB338" i="21" s="1"/>
  <c r="AA339" i="21"/>
  <c r="AB339" i="21" s="1"/>
  <c r="AA340" i="21"/>
  <c r="AB340" i="21" s="1"/>
  <c r="AA341" i="21"/>
  <c r="AB341" i="21" s="1"/>
  <c r="AA342" i="21"/>
  <c r="AB342" i="21" s="1"/>
  <c r="AA343" i="21"/>
  <c r="AB343" i="21" s="1"/>
  <c r="AA344" i="21"/>
  <c r="AB344" i="21" s="1"/>
  <c r="AA345" i="21"/>
  <c r="AB345" i="21" s="1"/>
  <c r="AA346" i="21"/>
  <c r="AB346" i="21" s="1"/>
  <c r="AA347" i="21"/>
  <c r="AB347" i="21" s="1"/>
  <c r="AA348" i="21"/>
  <c r="AB348" i="21" s="1"/>
  <c r="AA349" i="21"/>
  <c r="AB349" i="21" s="1"/>
  <c r="AA350" i="21"/>
  <c r="AB350" i="21" s="1"/>
  <c r="AA351" i="21"/>
  <c r="AB351" i="21" s="1"/>
  <c r="AA352" i="21"/>
  <c r="AB352" i="21" s="1"/>
  <c r="AA353" i="21"/>
  <c r="AB353" i="21" s="1"/>
  <c r="AA354" i="21"/>
  <c r="AB354" i="21" s="1"/>
  <c r="AA355" i="21"/>
  <c r="AB355" i="21" s="1"/>
  <c r="AA356" i="21"/>
  <c r="AB356" i="21" s="1"/>
  <c r="AA357" i="21"/>
  <c r="AB357" i="21" s="1"/>
  <c r="AA358" i="21"/>
  <c r="AB358" i="21" s="1"/>
  <c r="AA359" i="21"/>
  <c r="AB359" i="21" s="1"/>
  <c r="AA360" i="21"/>
  <c r="AB360" i="21" s="1"/>
  <c r="AA361" i="21"/>
  <c r="AB361" i="21" s="1"/>
  <c r="AA362" i="21"/>
  <c r="AB362" i="21" s="1"/>
  <c r="AA363" i="21"/>
  <c r="AB363" i="21" s="1"/>
  <c r="AA364" i="21"/>
  <c r="AB364" i="21" s="1"/>
  <c r="AA365" i="21"/>
  <c r="AB365" i="21" s="1"/>
  <c r="AA366" i="21"/>
  <c r="AB366" i="21" s="1"/>
  <c r="AA367" i="21"/>
  <c r="AB367" i="21" s="1"/>
  <c r="AA368" i="21"/>
  <c r="AB368" i="21" s="1"/>
  <c r="AA369" i="21"/>
  <c r="AB369" i="21" s="1"/>
  <c r="AA370" i="21"/>
  <c r="AB370" i="21" s="1"/>
  <c r="AA371" i="21"/>
  <c r="AB371" i="21" s="1"/>
  <c r="AA372" i="21"/>
  <c r="AB372" i="21" s="1"/>
  <c r="AA373" i="21"/>
  <c r="AB373" i="21" s="1"/>
  <c r="AA374" i="21"/>
  <c r="AB374" i="21" s="1"/>
  <c r="AA375" i="21"/>
  <c r="AB375" i="21" s="1"/>
  <c r="AA376" i="21"/>
  <c r="AB376" i="21" s="1"/>
  <c r="AA377" i="21"/>
  <c r="AB377" i="21" s="1"/>
  <c r="AA378" i="21"/>
  <c r="AB378" i="21" s="1"/>
  <c r="AA379" i="21"/>
  <c r="AB379" i="21" s="1"/>
  <c r="AA380" i="21"/>
  <c r="AB380" i="21" s="1"/>
  <c r="AA381" i="21"/>
  <c r="AB381" i="21" s="1"/>
  <c r="AA382" i="21"/>
  <c r="AB382" i="21" s="1"/>
  <c r="AA383" i="21"/>
  <c r="AB383" i="21" s="1"/>
  <c r="AA384" i="21"/>
  <c r="AB384" i="21" s="1"/>
  <c r="AA385" i="21"/>
  <c r="AB385" i="21" s="1"/>
  <c r="AA386" i="21"/>
  <c r="AB386" i="21" s="1"/>
  <c r="AA387" i="21"/>
  <c r="AB387" i="21" s="1"/>
  <c r="AA388" i="21"/>
  <c r="AB388" i="21" s="1"/>
  <c r="AA389" i="21"/>
  <c r="AB389" i="21" s="1"/>
  <c r="AA390" i="21"/>
  <c r="AB390" i="21" s="1"/>
  <c r="AA391" i="21"/>
  <c r="AB391" i="21" s="1"/>
  <c r="AA392" i="21"/>
  <c r="AB392" i="21" s="1"/>
  <c r="AA393" i="21"/>
  <c r="AB393" i="21" s="1"/>
  <c r="AA394" i="21"/>
  <c r="AB394" i="21" s="1"/>
  <c r="AA395" i="21"/>
  <c r="AB395" i="21" s="1"/>
  <c r="AA396" i="21"/>
  <c r="AB396" i="21" s="1"/>
  <c r="AA397" i="21"/>
  <c r="AB397" i="21" s="1"/>
  <c r="AA398" i="21"/>
  <c r="AB398" i="21" s="1"/>
  <c r="AA399" i="21"/>
  <c r="AB399" i="21" s="1"/>
  <c r="AA400" i="21"/>
  <c r="AB400" i="21" s="1"/>
  <c r="AA401" i="21"/>
  <c r="AB401" i="21" s="1"/>
  <c r="AA402" i="21"/>
  <c r="AB402" i="21" s="1"/>
  <c r="AA403" i="21"/>
  <c r="AB403" i="21" s="1"/>
  <c r="AA404" i="21"/>
  <c r="AB404" i="21" s="1"/>
  <c r="AA405" i="21"/>
  <c r="AB405" i="21" s="1"/>
  <c r="AA406" i="21"/>
  <c r="AB406" i="21" s="1"/>
  <c r="AA407" i="21"/>
  <c r="AB407" i="21" s="1"/>
  <c r="AA408" i="21"/>
  <c r="AB408" i="21" s="1"/>
  <c r="AA409" i="21"/>
  <c r="AB409" i="21" s="1"/>
  <c r="AA410" i="21"/>
  <c r="AB410" i="21" s="1"/>
  <c r="AA411" i="21"/>
  <c r="AB411" i="21" s="1"/>
  <c r="AA412" i="21"/>
  <c r="AB412" i="21" s="1"/>
  <c r="AA413" i="21"/>
  <c r="AB413" i="21" s="1"/>
  <c r="AA414" i="21"/>
  <c r="AB414" i="21" s="1"/>
  <c r="AA415" i="21"/>
  <c r="AB415" i="21" s="1"/>
  <c r="AA416" i="21"/>
  <c r="AB416" i="21" s="1"/>
  <c r="AA417" i="21"/>
  <c r="AB417" i="21" s="1"/>
  <c r="AA418" i="21"/>
  <c r="AB418" i="21" s="1"/>
  <c r="AA419" i="21"/>
  <c r="AB419" i="21" s="1"/>
  <c r="AA420" i="21"/>
  <c r="AB420" i="21" s="1"/>
  <c r="AA421" i="21"/>
  <c r="AB421" i="21" s="1"/>
  <c r="AA422" i="21"/>
  <c r="AB422" i="21" s="1"/>
  <c r="AA423" i="21"/>
  <c r="AB423" i="21" s="1"/>
  <c r="AA424" i="21"/>
  <c r="AB424" i="21" s="1"/>
  <c r="AA425" i="21"/>
  <c r="AB425" i="21" s="1"/>
  <c r="AA426" i="21"/>
  <c r="AB426" i="21" s="1"/>
  <c r="AA427" i="21"/>
  <c r="AB427" i="21" s="1"/>
  <c r="AA428" i="21"/>
  <c r="AB428" i="21" s="1"/>
  <c r="AA429" i="21"/>
  <c r="AB429" i="21" s="1"/>
  <c r="AA430" i="21"/>
  <c r="AB430" i="21" s="1"/>
  <c r="AA431" i="21"/>
  <c r="AB431" i="21" s="1"/>
  <c r="AA432" i="21"/>
  <c r="AB432" i="21" s="1"/>
  <c r="AA433" i="21"/>
  <c r="AB433" i="21" s="1"/>
  <c r="AA434" i="21"/>
  <c r="AB434" i="21" s="1"/>
  <c r="AA435" i="21"/>
  <c r="AB435" i="21" s="1"/>
  <c r="AA436" i="21"/>
  <c r="AB436" i="21" s="1"/>
  <c r="AA437" i="21"/>
  <c r="AB437" i="21" s="1"/>
  <c r="AA438" i="21"/>
  <c r="AB438" i="21" s="1"/>
  <c r="AA439" i="21"/>
  <c r="AB439" i="21" s="1"/>
  <c r="AA440" i="21"/>
  <c r="AB440" i="21" s="1"/>
  <c r="AA441" i="21"/>
  <c r="AB441" i="21" s="1"/>
  <c r="AA442" i="21"/>
  <c r="AB442" i="21" s="1"/>
  <c r="AA443" i="21"/>
  <c r="AB443" i="21" s="1"/>
  <c r="AA444" i="21"/>
  <c r="AB444" i="21" s="1"/>
  <c r="AA445" i="21"/>
  <c r="AB445" i="21" s="1"/>
  <c r="AA446" i="21"/>
  <c r="AB446" i="21" s="1"/>
  <c r="AA447" i="21"/>
  <c r="AB447" i="21" s="1"/>
  <c r="AA448" i="21"/>
  <c r="AB448" i="21" s="1"/>
  <c r="AA449" i="21"/>
  <c r="AB449" i="21" s="1"/>
  <c r="AA450" i="21"/>
  <c r="AB450" i="21" s="1"/>
  <c r="AA451" i="21"/>
  <c r="AB451" i="21" s="1"/>
  <c r="AA452" i="21"/>
  <c r="AB452" i="21" s="1"/>
  <c r="AA453" i="21"/>
  <c r="AB453" i="21" s="1"/>
  <c r="AA454" i="21"/>
  <c r="AB454" i="21" s="1"/>
  <c r="AA455" i="21"/>
  <c r="AB455" i="21" s="1"/>
  <c r="AA456" i="21"/>
  <c r="AB456" i="21" s="1"/>
  <c r="AA457" i="21"/>
  <c r="AB457" i="21" s="1"/>
  <c r="AA458" i="21"/>
  <c r="AB458" i="21" s="1"/>
  <c r="AA459" i="21"/>
  <c r="AB459" i="21" s="1"/>
  <c r="AA460" i="21"/>
  <c r="AB460" i="21" s="1"/>
  <c r="AA461" i="21"/>
  <c r="AB461" i="21" s="1"/>
  <c r="AA462" i="21"/>
  <c r="AB462" i="21" s="1"/>
  <c r="AA463" i="21"/>
  <c r="AB463" i="21" s="1"/>
  <c r="AA464" i="21"/>
  <c r="AB464" i="21" s="1"/>
  <c r="AA465" i="21"/>
  <c r="AB465" i="21" s="1"/>
  <c r="AA466" i="21"/>
  <c r="AB466" i="21" s="1"/>
  <c r="AA467" i="21"/>
  <c r="AB467" i="21" s="1"/>
  <c r="AA468" i="21"/>
  <c r="AB468" i="21" s="1"/>
  <c r="AA469" i="21"/>
  <c r="AB469" i="21" s="1"/>
  <c r="AA470" i="21"/>
  <c r="AB470" i="21" s="1"/>
  <c r="AA471" i="21"/>
  <c r="AB471" i="21" s="1"/>
  <c r="AA472" i="21"/>
  <c r="AB472" i="21" s="1"/>
  <c r="AA473" i="21"/>
  <c r="AB473" i="21" s="1"/>
  <c r="AA474" i="21"/>
  <c r="AB474" i="21" s="1"/>
  <c r="AA475" i="21"/>
  <c r="AB475" i="21" s="1"/>
  <c r="AA476" i="21"/>
  <c r="AB476" i="21" s="1"/>
  <c r="AA477" i="21"/>
  <c r="AB477" i="21" s="1"/>
  <c r="AA478" i="21"/>
  <c r="AB478" i="21" s="1"/>
  <c r="AA479" i="21"/>
  <c r="AB479" i="21" s="1"/>
  <c r="AA480" i="21"/>
  <c r="AB480" i="21" s="1"/>
  <c r="AA481" i="21"/>
  <c r="AB481" i="21" s="1"/>
  <c r="AA482" i="21"/>
  <c r="AB482" i="21" s="1"/>
  <c r="AA483" i="21"/>
  <c r="AB483" i="21" s="1"/>
  <c r="AA484" i="21"/>
  <c r="AB484" i="21" s="1"/>
  <c r="AA485" i="21"/>
  <c r="AB485" i="21" s="1"/>
  <c r="AA486" i="21"/>
  <c r="AB486" i="21" s="1"/>
  <c r="AA487" i="21"/>
  <c r="AB487" i="21" s="1"/>
  <c r="AA488" i="21"/>
  <c r="AB488" i="21" s="1"/>
  <c r="AA489" i="21"/>
  <c r="AB489" i="21" s="1"/>
  <c r="AA490" i="21"/>
  <c r="AB490" i="21" s="1"/>
  <c r="AA491" i="21"/>
  <c r="AB491" i="21" s="1"/>
  <c r="AA492" i="21"/>
  <c r="AB492" i="21" s="1"/>
  <c r="AA493" i="21"/>
  <c r="AB493" i="21" s="1"/>
  <c r="AA494" i="21"/>
  <c r="AB494" i="21" s="1"/>
  <c r="AA495" i="21"/>
  <c r="AB495" i="21" s="1"/>
  <c r="AA496" i="21"/>
  <c r="AB496" i="21" s="1"/>
  <c r="AA497" i="21"/>
  <c r="AB497" i="21" s="1"/>
  <c r="AA498" i="21"/>
  <c r="AB498" i="21" s="1"/>
  <c r="AA499" i="21"/>
  <c r="AB499" i="21" s="1"/>
  <c r="AA500" i="21"/>
  <c r="AB500" i="21" s="1"/>
  <c r="AA501" i="21"/>
  <c r="AB501" i="21" s="1"/>
  <c r="AA502" i="21"/>
  <c r="AB502" i="21" s="1"/>
  <c r="AA503" i="21"/>
  <c r="AB503" i="21" s="1"/>
  <c r="AA504" i="21"/>
  <c r="AB504" i="21" s="1"/>
  <c r="AA505" i="21"/>
  <c r="AB505" i="21" s="1"/>
  <c r="AA506" i="21"/>
  <c r="AB506" i="21" s="1"/>
  <c r="AA507" i="21"/>
  <c r="AB507" i="21" s="1"/>
  <c r="AA508" i="21"/>
  <c r="AB508" i="21" s="1"/>
  <c r="AA509" i="21"/>
  <c r="AB509" i="21" s="1"/>
  <c r="AA510" i="21"/>
  <c r="AB510" i="21" s="1"/>
  <c r="AA511" i="21"/>
  <c r="AB511" i="21" s="1"/>
  <c r="AA512" i="21"/>
  <c r="AB512" i="21" s="1"/>
  <c r="AA513" i="21"/>
  <c r="AB513" i="21" s="1"/>
  <c r="AA514" i="21"/>
  <c r="AB514" i="21" s="1"/>
  <c r="AA515" i="21"/>
  <c r="AB515" i="21" s="1"/>
  <c r="AA516" i="21"/>
  <c r="AB516" i="21" s="1"/>
  <c r="AA517" i="21"/>
  <c r="AB517" i="21" s="1"/>
  <c r="AA518" i="21"/>
  <c r="AB518" i="21" s="1"/>
  <c r="AA519" i="21"/>
  <c r="AB519" i="21" s="1"/>
  <c r="AA520" i="21"/>
  <c r="AB520" i="21" s="1"/>
  <c r="AA521" i="21"/>
  <c r="AB521" i="21" s="1"/>
  <c r="AA522" i="21"/>
  <c r="AB522" i="21" s="1"/>
  <c r="AA523" i="21"/>
  <c r="AB523" i="21" s="1"/>
  <c r="AA524" i="21"/>
  <c r="AB524" i="21" s="1"/>
  <c r="AA525" i="21"/>
  <c r="AB525" i="21" s="1"/>
  <c r="AA526" i="21"/>
  <c r="AB526" i="21" s="1"/>
  <c r="AA527" i="21"/>
  <c r="AB527" i="21" s="1"/>
  <c r="AA528" i="21"/>
  <c r="AB528" i="21" s="1"/>
  <c r="AA529" i="21"/>
  <c r="AB529" i="21" s="1"/>
  <c r="AA530" i="21"/>
  <c r="AB530" i="21" s="1"/>
  <c r="AA531" i="21"/>
  <c r="AB531" i="21" s="1"/>
  <c r="AA532" i="21"/>
  <c r="AB532" i="21" s="1"/>
  <c r="AA533" i="21"/>
  <c r="AB533" i="21" s="1"/>
  <c r="AA534" i="21"/>
  <c r="AB534" i="21" s="1"/>
  <c r="AA535" i="21"/>
  <c r="AB535" i="21" s="1"/>
  <c r="AA536" i="21"/>
  <c r="AB536" i="21" s="1"/>
  <c r="AA537" i="21"/>
  <c r="AB537" i="21" s="1"/>
  <c r="AA538" i="21"/>
  <c r="AB538" i="21" s="1"/>
  <c r="AA539" i="21"/>
  <c r="AB539" i="21" s="1"/>
  <c r="AA540" i="21"/>
  <c r="AB540" i="21" s="1"/>
  <c r="AA541" i="21"/>
  <c r="AB541" i="21" s="1"/>
  <c r="AA542" i="21"/>
  <c r="AB542" i="21" s="1"/>
  <c r="AA543" i="21"/>
  <c r="AB543" i="21" s="1"/>
  <c r="AA544" i="21"/>
  <c r="AB544" i="21" s="1"/>
  <c r="AA545" i="21"/>
  <c r="AB545" i="21" s="1"/>
  <c r="AA546" i="21"/>
  <c r="AB546" i="21" s="1"/>
  <c r="AA547" i="21"/>
  <c r="AB547" i="21" s="1"/>
  <c r="AA548" i="21"/>
  <c r="AB548" i="21" s="1"/>
  <c r="AA549" i="21"/>
  <c r="AB549" i="21" s="1"/>
  <c r="AA550" i="21"/>
  <c r="AB550" i="21" s="1"/>
  <c r="AA551" i="21"/>
  <c r="AB551" i="21" s="1"/>
  <c r="AA552" i="21"/>
  <c r="AB552" i="21" s="1"/>
  <c r="AA553" i="21"/>
  <c r="AB553" i="21" s="1"/>
  <c r="AA554" i="21"/>
  <c r="AB554" i="21" s="1"/>
  <c r="AA555" i="21"/>
  <c r="AB555" i="21" s="1"/>
  <c r="AA556" i="21"/>
  <c r="AB556" i="21" s="1"/>
  <c r="AA557" i="21"/>
  <c r="AB557" i="21" s="1"/>
  <c r="AA558" i="21"/>
  <c r="AB558" i="21" s="1"/>
  <c r="AA559" i="21"/>
  <c r="AB559" i="21" s="1"/>
  <c r="AA560" i="21"/>
  <c r="AB560" i="21" s="1"/>
  <c r="AA561" i="21"/>
  <c r="AB561" i="21" s="1"/>
  <c r="AA562" i="21"/>
  <c r="AB562" i="21" s="1"/>
  <c r="AA563" i="21"/>
  <c r="AB563" i="21" s="1"/>
  <c r="AA564" i="21"/>
  <c r="AB564" i="21" s="1"/>
  <c r="AA565" i="21"/>
  <c r="AB565" i="21" s="1"/>
  <c r="AA566" i="21"/>
  <c r="AB566" i="21" s="1"/>
  <c r="AA567" i="21"/>
  <c r="AB567" i="21" s="1"/>
  <c r="AA568" i="21"/>
  <c r="AB568" i="21" s="1"/>
  <c r="AA569" i="21"/>
  <c r="AB569" i="21" s="1"/>
  <c r="AA570" i="21"/>
  <c r="AB570" i="21" s="1"/>
  <c r="AA571" i="21"/>
  <c r="AB571" i="21" s="1"/>
  <c r="AA572" i="21"/>
  <c r="AB572" i="21" s="1"/>
  <c r="AA573" i="21"/>
  <c r="AB573" i="21" s="1"/>
  <c r="AA574" i="21"/>
  <c r="AB574" i="21" s="1"/>
  <c r="AA575" i="21"/>
  <c r="AB575" i="21" s="1"/>
  <c r="AA576" i="21"/>
  <c r="AB576" i="21" s="1"/>
  <c r="AA577" i="21"/>
  <c r="AB577" i="21" s="1"/>
  <c r="AA578" i="21"/>
  <c r="AB578" i="21" s="1"/>
  <c r="AA579" i="21"/>
  <c r="AB579" i="21" s="1"/>
  <c r="AA580" i="21"/>
  <c r="AB580" i="21" s="1"/>
  <c r="AA581" i="21"/>
  <c r="AB581" i="21" s="1"/>
  <c r="AA582" i="21"/>
  <c r="AB582" i="21" s="1"/>
  <c r="AA583" i="21"/>
  <c r="AB583" i="21" s="1"/>
  <c r="AA584" i="21"/>
  <c r="AB584" i="21" s="1"/>
  <c r="AA585" i="21"/>
  <c r="AB585" i="21" s="1"/>
  <c r="AA586" i="21"/>
  <c r="AB586" i="21" s="1"/>
  <c r="AA587" i="21"/>
  <c r="AB587" i="21" s="1"/>
  <c r="AA588" i="21"/>
  <c r="AB588" i="21" s="1"/>
  <c r="AA589" i="21"/>
  <c r="AB589" i="21" s="1"/>
  <c r="AA590" i="21"/>
  <c r="AB590" i="21" s="1"/>
  <c r="AA591" i="21"/>
  <c r="AB591" i="21" s="1"/>
  <c r="AA592" i="21"/>
  <c r="AB592" i="21" s="1"/>
  <c r="AA593" i="21"/>
  <c r="AB593" i="21" s="1"/>
  <c r="AA594" i="21"/>
  <c r="AB594" i="21" s="1"/>
  <c r="AA595" i="21"/>
  <c r="AB595" i="21" s="1"/>
  <c r="AA596" i="21"/>
  <c r="AB596" i="21" s="1"/>
  <c r="AA597" i="21"/>
  <c r="AB597" i="21" s="1"/>
  <c r="AA598" i="21"/>
  <c r="AB598" i="21" s="1"/>
  <c r="AA599" i="21"/>
  <c r="AB599" i="21" s="1"/>
  <c r="AA600" i="21"/>
  <c r="AB600" i="21" s="1"/>
  <c r="AA601" i="21"/>
  <c r="AB601" i="21" s="1"/>
  <c r="AA602" i="21"/>
  <c r="AB602" i="21" s="1"/>
  <c r="AA603" i="21"/>
  <c r="AB603" i="21" s="1"/>
  <c r="AA604" i="21"/>
  <c r="AB604" i="21" s="1"/>
  <c r="AA605" i="21"/>
  <c r="AB605" i="21" s="1"/>
  <c r="AA606" i="21"/>
  <c r="AB606" i="21" s="1"/>
  <c r="AA607" i="21"/>
  <c r="AB607" i="21" s="1"/>
  <c r="AA608" i="21"/>
  <c r="AB608" i="21" s="1"/>
  <c r="AA609" i="21"/>
  <c r="AB609" i="21" s="1"/>
  <c r="AA610" i="21"/>
  <c r="AB610" i="21" s="1"/>
  <c r="AA611" i="21"/>
  <c r="AB611" i="21" s="1"/>
  <c r="AA612" i="21"/>
  <c r="AB612" i="21" s="1"/>
  <c r="AA613" i="21"/>
  <c r="AB613" i="21" s="1"/>
  <c r="AA614" i="21"/>
  <c r="AB614" i="21" s="1"/>
  <c r="AA615" i="21"/>
  <c r="AB615" i="21" s="1"/>
  <c r="AA616" i="21"/>
  <c r="AB616" i="21" s="1"/>
  <c r="AA617" i="21"/>
  <c r="AB617" i="21" s="1"/>
  <c r="AA618" i="21"/>
  <c r="AB618" i="21" s="1"/>
  <c r="AA619" i="21"/>
  <c r="AB619" i="21" s="1"/>
  <c r="AA620" i="21"/>
  <c r="AB620" i="21" s="1"/>
  <c r="AA621" i="21"/>
  <c r="AB621" i="21" s="1"/>
  <c r="AA622" i="21"/>
  <c r="AB622" i="21" s="1"/>
  <c r="AA623" i="21"/>
  <c r="AB623" i="21" s="1"/>
  <c r="AA624" i="21"/>
  <c r="AB624" i="21" s="1"/>
  <c r="AA625" i="21"/>
  <c r="AB625" i="21" s="1"/>
  <c r="AA626" i="21"/>
  <c r="AB626" i="21" s="1"/>
  <c r="AA627" i="21"/>
  <c r="AB627" i="21" s="1"/>
  <c r="AA628" i="21"/>
  <c r="AB628" i="21" s="1"/>
  <c r="AA629" i="21"/>
  <c r="AB629" i="21" s="1"/>
  <c r="AA630" i="21"/>
  <c r="AB630" i="21" s="1"/>
  <c r="AA631" i="21"/>
  <c r="AB631" i="21" s="1"/>
  <c r="AA632" i="21"/>
  <c r="AB632" i="21" s="1"/>
  <c r="AA633" i="21"/>
  <c r="AB633" i="21" s="1"/>
  <c r="AA634" i="21"/>
  <c r="AB634" i="21" s="1"/>
  <c r="AA635" i="21"/>
  <c r="AB635" i="21" s="1"/>
  <c r="AA636" i="21"/>
  <c r="AB636" i="21" s="1"/>
  <c r="AA637" i="21"/>
  <c r="AB637" i="21" s="1"/>
  <c r="AA638" i="21"/>
  <c r="AB638" i="21" s="1"/>
  <c r="AA639" i="21"/>
  <c r="AB639" i="21" s="1"/>
  <c r="AA640" i="21"/>
  <c r="AB640" i="21" s="1"/>
  <c r="AA641" i="21"/>
  <c r="AB641" i="21" s="1"/>
  <c r="AA642" i="21"/>
  <c r="AB642" i="21" s="1"/>
  <c r="AA643" i="21"/>
  <c r="AB643" i="21" s="1"/>
  <c r="AA644" i="21"/>
  <c r="AB644" i="21" s="1"/>
  <c r="AA645" i="21"/>
  <c r="AB645" i="21" s="1"/>
  <c r="AA646" i="21"/>
  <c r="AB646" i="21" s="1"/>
  <c r="AA647" i="21"/>
  <c r="AB647" i="21" s="1"/>
  <c r="AA648" i="21"/>
  <c r="AB648" i="21" s="1"/>
  <c r="AA649" i="21"/>
  <c r="AB649" i="21" s="1"/>
  <c r="AA650" i="21"/>
  <c r="AB650" i="21" s="1"/>
  <c r="AA651" i="21"/>
  <c r="AB651" i="21" s="1"/>
  <c r="AA652" i="21"/>
  <c r="AB652" i="21" s="1"/>
  <c r="AA653" i="21"/>
  <c r="AB653" i="21" s="1"/>
  <c r="AA654" i="21"/>
  <c r="AB654" i="21" s="1"/>
  <c r="AA655" i="21"/>
  <c r="AB655" i="21" s="1"/>
  <c r="AA656" i="21"/>
  <c r="AB656" i="21" s="1"/>
  <c r="AA657" i="21"/>
  <c r="AB657" i="21" s="1"/>
  <c r="AA658" i="21"/>
  <c r="AB658" i="21" s="1"/>
  <c r="AA659" i="21"/>
  <c r="AB659" i="21" s="1"/>
  <c r="AA660" i="21"/>
  <c r="AB660" i="21" s="1"/>
  <c r="AA661" i="21"/>
  <c r="AB661" i="21" s="1"/>
  <c r="AA662" i="21"/>
  <c r="AB662" i="21" s="1"/>
  <c r="AA663" i="21"/>
  <c r="AB663" i="21" s="1"/>
  <c r="AA664" i="21"/>
  <c r="AB664" i="21" s="1"/>
  <c r="AA665" i="21"/>
  <c r="AB665" i="21" s="1"/>
  <c r="AA666" i="21"/>
  <c r="AB666" i="21" s="1"/>
  <c r="AA667" i="21"/>
  <c r="AB667" i="21" s="1"/>
  <c r="AA668" i="21"/>
  <c r="AB668" i="21" s="1"/>
  <c r="AA669" i="21"/>
  <c r="AB669" i="21" s="1"/>
  <c r="AA670" i="21"/>
  <c r="AB670" i="21" s="1"/>
  <c r="AA671" i="21"/>
  <c r="AB671" i="21" s="1"/>
  <c r="AA672" i="21"/>
  <c r="AB672" i="21" s="1"/>
  <c r="AA673" i="21"/>
  <c r="AB673" i="21" s="1"/>
  <c r="AA674" i="21"/>
  <c r="AB674" i="21" s="1"/>
  <c r="AA675" i="21"/>
  <c r="AB675" i="21" s="1"/>
  <c r="AA676" i="21"/>
  <c r="AB676" i="21" s="1"/>
  <c r="AA677" i="21"/>
  <c r="AB677" i="21" s="1"/>
  <c r="AA678" i="21"/>
  <c r="AB678" i="21" s="1"/>
  <c r="AA679" i="21"/>
  <c r="AB679" i="21" s="1"/>
  <c r="AA680" i="21"/>
  <c r="AB680" i="21" s="1"/>
  <c r="AA681" i="21"/>
  <c r="AB681" i="21" s="1"/>
  <c r="AA682" i="21"/>
  <c r="AB682" i="21" s="1"/>
  <c r="AA683" i="21"/>
  <c r="AB683" i="21" s="1"/>
  <c r="AA684" i="21"/>
  <c r="AB684" i="21" s="1"/>
  <c r="AA685" i="21"/>
  <c r="AB685" i="21" s="1"/>
  <c r="AA686" i="21"/>
  <c r="AB686" i="21" s="1"/>
  <c r="AA687" i="21"/>
  <c r="AB687" i="21" s="1"/>
  <c r="AA688" i="21"/>
  <c r="AB688" i="21" s="1"/>
  <c r="AA689" i="21"/>
  <c r="AB689" i="21" s="1"/>
  <c r="AA690" i="21"/>
  <c r="AB690" i="21" s="1"/>
  <c r="AA691" i="21"/>
  <c r="AB691" i="21" s="1"/>
  <c r="AA692" i="21"/>
  <c r="AB692" i="21" s="1"/>
  <c r="AA693" i="21"/>
  <c r="AB693" i="21" s="1"/>
  <c r="AA694" i="21"/>
  <c r="AB694" i="21" s="1"/>
  <c r="AA695" i="21"/>
  <c r="AB695" i="21" s="1"/>
  <c r="AA696" i="21"/>
  <c r="AB696" i="21" s="1"/>
  <c r="AA697" i="21"/>
  <c r="AB697" i="21" s="1"/>
  <c r="AA698" i="21"/>
  <c r="AB698" i="21" s="1"/>
  <c r="AA699" i="21"/>
  <c r="AB699" i="21" s="1"/>
  <c r="AA700" i="21"/>
  <c r="AB700" i="21" s="1"/>
  <c r="AA701" i="21"/>
  <c r="AB701" i="21" s="1"/>
  <c r="AA702" i="21"/>
  <c r="AB702" i="21" s="1"/>
  <c r="AA703" i="21"/>
  <c r="AB703" i="21" s="1"/>
  <c r="AA704" i="21"/>
  <c r="AB704" i="21" s="1"/>
  <c r="AA705" i="21"/>
  <c r="AB705" i="21" s="1"/>
  <c r="AA706" i="21"/>
  <c r="AB706" i="21" s="1"/>
  <c r="AA707" i="21"/>
  <c r="AB707" i="21" s="1"/>
  <c r="AA708" i="21"/>
  <c r="AB708" i="21" s="1"/>
  <c r="AA709" i="21"/>
  <c r="AB709" i="21" s="1"/>
  <c r="AA710" i="21"/>
  <c r="AB710" i="21" s="1"/>
  <c r="AA711" i="21"/>
  <c r="AB711" i="21" s="1"/>
  <c r="AA712" i="21"/>
  <c r="AB712" i="21" s="1"/>
  <c r="AA713" i="21"/>
  <c r="AB713" i="21" s="1"/>
  <c r="AA714" i="21"/>
  <c r="AB714" i="21" s="1"/>
  <c r="AA715" i="21"/>
  <c r="AB715" i="21" s="1"/>
  <c r="AA716" i="21"/>
  <c r="AB716" i="21" s="1"/>
  <c r="AA717" i="21"/>
  <c r="AB717" i="21" s="1"/>
  <c r="AA718" i="21"/>
  <c r="AB718" i="21" s="1"/>
  <c r="AA719" i="21"/>
  <c r="AB719" i="21" s="1"/>
  <c r="AA720" i="21"/>
  <c r="AB720" i="21" s="1"/>
  <c r="AA721" i="21"/>
  <c r="AB721" i="21" s="1"/>
  <c r="AA722" i="21"/>
  <c r="AB722" i="21" s="1"/>
  <c r="AA723" i="21"/>
  <c r="AB723" i="21" s="1"/>
  <c r="AA724" i="21"/>
  <c r="AB724" i="21" s="1"/>
  <c r="AA725" i="21"/>
  <c r="AB725" i="21" s="1"/>
  <c r="AA726" i="21"/>
  <c r="AB726" i="21" s="1"/>
  <c r="AA727" i="21"/>
  <c r="AB727" i="21" s="1"/>
  <c r="AA728" i="21"/>
  <c r="AB728" i="21" s="1"/>
  <c r="AA729" i="21"/>
  <c r="AB729" i="21" s="1"/>
  <c r="AA730" i="21"/>
  <c r="AB730" i="21" s="1"/>
  <c r="AA731" i="21"/>
  <c r="AB731" i="21" s="1"/>
  <c r="AA732" i="21"/>
  <c r="AB732" i="21" s="1"/>
  <c r="AA733" i="21"/>
  <c r="AB733" i="21" s="1"/>
  <c r="AA734" i="21"/>
  <c r="AB734" i="21" s="1"/>
  <c r="AA735" i="21"/>
  <c r="AB735" i="21" s="1"/>
  <c r="AA736" i="21"/>
  <c r="AB736" i="21" s="1"/>
  <c r="AA737" i="21"/>
  <c r="AB737" i="21" s="1"/>
  <c r="AA738" i="21"/>
  <c r="AB738" i="21" s="1"/>
  <c r="AA739" i="21"/>
  <c r="AB739" i="21" s="1"/>
  <c r="AA740" i="21"/>
  <c r="AB740" i="21" s="1"/>
  <c r="AA741" i="21"/>
  <c r="AB741" i="21" s="1"/>
  <c r="AA742" i="21"/>
  <c r="AB742" i="21" s="1"/>
  <c r="AA743" i="21"/>
  <c r="AB743" i="21" s="1"/>
  <c r="AA744" i="21"/>
  <c r="AB744" i="21" s="1"/>
  <c r="AA745" i="21"/>
  <c r="AB745" i="21" s="1"/>
  <c r="AA746" i="21"/>
  <c r="AB746" i="21" s="1"/>
  <c r="AA747" i="21"/>
  <c r="AB747" i="21" s="1"/>
  <c r="AA748" i="21"/>
  <c r="AB748" i="21" s="1"/>
  <c r="AA749" i="21"/>
  <c r="AB749" i="21" s="1"/>
  <c r="AA750" i="21"/>
  <c r="AB750" i="21" s="1"/>
  <c r="AA751" i="21"/>
  <c r="AB751" i="21" s="1"/>
  <c r="AA752" i="21"/>
  <c r="AB752" i="21" s="1"/>
  <c r="AA753" i="21"/>
  <c r="AB753" i="21" s="1"/>
  <c r="AA754" i="21"/>
  <c r="AB754" i="21" s="1"/>
  <c r="AA755" i="21"/>
  <c r="AB755" i="21" s="1"/>
  <c r="AA756" i="21"/>
  <c r="AB756" i="21" s="1"/>
  <c r="AA757" i="21"/>
  <c r="AB757" i="21" s="1"/>
  <c r="AA758" i="21"/>
  <c r="AB758" i="21" s="1"/>
  <c r="AA759" i="21"/>
  <c r="AB759" i="21" s="1"/>
  <c r="AA760" i="21"/>
  <c r="AB760" i="21" s="1"/>
  <c r="AA761" i="21"/>
  <c r="AB761" i="21" s="1"/>
  <c r="AA762" i="21"/>
  <c r="AB762" i="21" s="1"/>
  <c r="AA763" i="21"/>
  <c r="AB763" i="21" s="1"/>
  <c r="AA764" i="21"/>
  <c r="AB764" i="21" s="1"/>
  <c r="AA765" i="21"/>
  <c r="AB765" i="21" s="1"/>
  <c r="AA766" i="21"/>
  <c r="AB766" i="21" s="1"/>
  <c r="AA767" i="21"/>
  <c r="AB767" i="21" s="1"/>
  <c r="AA768" i="21"/>
  <c r="AB768" i="21" s="1"/>
  <c r="AA769" i="21"/>
  <c r="AB769" i="21" s="1"/>
  <c r="AA770" i="21"/>
  <c r="AB770" i="21" s="1"/>
  <c r="AA771" i="21"/>
  <c r="AB771" i="21" s="1"/>
  <c r="AA772" i="21"/>
  <c r="AB772" i="21" s="1"/>
  <c r="AA773" i="21"/>
  <c r="AB773" i="21" s="1"/>
  <c r="AA774" i="21"/>
  <c r="AB774" i="21" s="1"/>
  <c r="AA775" i="21"/>
  <c r="AB775" i="21" s="1"/>
  <c r="AA776" i="21"/>
  <c r="AB776" i="21" s="1"/>
  <c r="AA777" i="21"/>
  <c r="AB777" i="21" s="1"/>
  <c r="AA778" i="21"/>
  <c r="AB778" i="21" s="1"/>
  <c r="AA779" i="21"/>
  <c r="AB779" i="21" s="1"/>
  <c r="AA780" i="21"/>
  <c r="AB780" i="21" s="1"/>
  <c r="AA781" i="21"/>
  <c r="AB781" i="21" s="1"/>
  <c r="AA782" i="21"/>
  <c r="AB782" i="21" s="1"/>
  <c r="AA783" i="21"/>
  <c r="AB783" i="21" s="1"/>
  <c r="AA784" i="21"/>
  <c r="AB784" i="21" s="1"/>
  <c r="AA785" i="21"/>
  <c r="AB785" i="21" s="1"/>
  <c r="AA786" i="21"/>
  <c r="AB786" i="21" s="1"/>
  <c r="AA787" i="21"/>
  <c r="AB787" i="21" s="1"/>
  <c r="AA788" i="21"/>
  <c r="AB788" i="21" s="1"/>
  <c r="AA789" i="21"/>
  <c r="AB789" i="21" s="1"/>
  <c r="AA790" i="21"/>
  <c r="AB790" i="21" s="1"/>
  <c r="AA791" i="21"/>
  <c r="AB791" i="21" s="1"/>
  <c r="AA792" i="21"/>
  <c r="AB792" i="21" s="1"/>
  <c r="AA793" i="21"/>
  <c r="AB793" i="21" s="1"/>
  <c r="AA794" i="21"/>
  <c r="AB794" i="21" s="1"/>
  <c r="AA795" i="21"/>
  <c r="AB795" i="21" s="1"/>
  <c r="AA796" i="21"/>
  <c r="AB796" i="21" s="1"/>
  <c r="AA797" i="21"/>
  <c r="AB797" i="21" s="1"/>
  <c r="AA798" i="21"/>
  <c r="AB798" i="21" s="1"/>
  <c r="AA799" i="21"/>
  <c r="AB799" i="21" s="1"/>
  <c r="AA800" i="21"/>
  <c r="AB800" i="21" s="1"/>
  <c r="AA801" i="21"/>
  <c r="AB801" i="21" s="1"/>
  <c r="AA802" i="21"/>
  <c r="AB802" i="21" s="1"/>
  <c r="AA803" i="21"/>
  <c r="AB803" i="21" s="1"/>
  <c r="AA804" i="21"/>
  <c r="AB804" i="21" s="1"/>
  <c r="AA805" i="21"/>
  <c r="AB805" i="21" s="1"/>
  <c r="AA806" i="21"/>
  <c r="AB806" i="21" s="1"/>
  <c r="AA807" i="21"/>
  <c r="AB807" i="21" s="1"/>
  <c r="AA808" i="21"/>
  <c r="AB808" i="21" s="1"/>
  <c r="AA809" i="21"/>
  <c r="AB809" i="21" s="1"/>
  <c r="AA810" i="21"/>
  <c r="AB810" i="21" s="1"/>
  <c r="AA811" i="21"/>
  <c r="AB811" i="21" s="1"/>
  <c r="AA812" i="21"/>
  <c r="AB812" i="21" s="1"/>
  <c r="AA813" i="21"/>
  <c r="AB813" i="21" s="1"/>
  <c r="AA814" i="21"/>
  <c r="AB814" i="21" s="1"/>
  <c r="AA815" i="21"/>
  <c r="AB815" i="21" s="1"/>
  <c r="AA816" i="21"/>
  <c r="AB816" i="21" s="1"/>
  <c r="AA817" i="21"/>
  <c r="AB817" i="21" s="1"/>
  <c r="AA818" i="21"/>
  <c r="AB818" i="21" s="1"/>
  <c r="AA819" i="21"/>
  <c r="AB819" i="21" s="1"/>
  <c r="AA820" i="21"/>
  <c r="AB820" i="21" s="1"/>
  <c r="AA821" i="21"/>
  <c r="AB821" i="21" s="1"/>
  <c r="AA822" i="21"/>
  <c r="AB822" i="21" s="1"/>
  <c r="AA823" i="21"/>
  <c r="AB823" i="21" s="1"/>
  <c r="AA824" i="21"/>
  <c r="AB824" i="21" s="1"/>
  <c r="AA825" i="21"/>
  <c r="AB825" i="21" s="1"/>
  <c r="AA826" i="21"/>
  <c r="AB826" i="21" s="1"/>
  <c r="AA827" i="21"/>
  <c r="AB827" i="21" s="1"/>
  <c r="AA828" i="21"/>
  <c r="AB828" i="21" s="1"/>
  <c r="AA829" i="21"/>
  <c r="AB829" i="21" s="1"/>
  <c r="AA830" i="21"/>
  <c r="AB830" i="21" s="1"/>
  <c r="AA831" i="21"/>
  <c r="AB831" i="21" s="1"/>
  <c r="AA832" i="21"/>
  <c r="AB832" i="21" s="1"/>
  <c r="AA833" i="21"/>
  <c r="AB833" i="21" s="1"/>
  <c r="AA834" i="21"/>
  <c r="AB834" i="21" s="1"/>
  <c r="AA835" i="21"/>
  <c r="AB835" i="21" s="1"/>
  <c r="AA836" i="21"/>
  <c r="AB836" i="21" s="1"/>
  <c r="AA837" i="21"/>
  <c r="AB837" i="21" s="1"/>
  <c r="AA838" i="21"/>
  <c r="AB838" i="21" s="1"/>
  <c r="AA839" i="21"/>
  <c r="AB839" i="21" s="1"/>
  <c r="AA840" i="21"/>
  <c r="AB840" i="21" s="1"/>
  <c r="AA841" i="21"/>
  <c r="AB841" i="21" s="1"/>
  <c r="AA842" i="21"/>
  <c r="AB842" i="21" s="1"/>
  <c r="AA843" i="21"/>
  <c r="AB843" i="21" s="1"/>
  <c r="AA844" i="21"/>
  <c r="AB844" i="21" s="1"/>
  <c r="AA845" i="21"/>
  <c r="AB845" i="21" s="1"/>
  <c r="AA846" i="21"/>
  <c r="AB846" i="21" s="1"/>
  <c r="AA847" i="21"/>
  <c r="AB847" i="21" s="1"/>
  <c r="AA848" i="21"/>
  <c r="AB848" i="21" s="1"/>
  <c r="AA849" i="21"/>
  <c r="AB849" i="21" s="1"/>
  <c r="AA850" i="21"/>
  <c r="AB850" i="21" s="1"/>
  <c r="AA851" i="21"/>
  <c r="AB851" i="21" s="1"/>
  <c r="AA852" i="21"/>
  <c r="AB852" i="21" s="1"/>
  <c r="AA853" i="21"/>
  <c r="AB853" i="21" s="1"/>
  <c r="AA854" i="21"/>
  <c r="AB854" i="21" s="1"/>
  <c r="AA855" i="21"/>
  <c r="AB855" i="21" s="1"/>
  <c r="AA856" i="21"/>
  <c r="AB856" i="21" s="1"/>
  <c r="AA857" i="21"/>
  <c r="AB857" i="21" s="1"/>
  <c r="AA858" i="21"/>
  <c r="AB858" i="21" s="1"/>
  <c r="AA859" i="21"/>
  <c r="AB859" i="21" s="1"/>
  <c r="AA860" i="21"/>
  <c r="AB860" i="21" s="1"/>
  <c r="AA861" i="21"/>
  <c r="AB861" i="21" s="1"/>
  <c r="AA862" i="21"/>
  <c r="AB862" i="21" s="1"/>
  <c r="AA863" i="21"/>
  <c r="AB863" i="21" s="1"/>
  <c r="AA864" i="21"/>
  <c r="AB864" i="21" s="1"/>
  <c r="AA865" i="21"/>
  <c r="AB865" i="21" s="1"/>
  <c r="AA866" i="21"/>
  <c r="AB866" i="21" s="1"/>
  <c r="AA867" i="21"/>
  <c r="AB867" i="21" s="1"/>
  <c r="AA868" i="21"/>
  <c r="AB868" i="21" s="1"/>
  <c r="AA869" i="21"/>
  <c r="AB869" i="21" s="1"/>
  <c r="AA870" i="21"/>
  <c r="AB870" i="21" s="1"/>
  <c r="AA871" i="21"/>
  <c r="AB871" i="21" s="1"/>
  <c r="AA872" i="21"/>
  <c r="AB872" i="21" s="1"/>
  <c r="AA873" i="21"/>
  <c r="AB873" i="21" s="1"/>
  <c r="AA874" i="21"/>
  <c r="AB874" i="21" s="1"/>
  <c r="AA875" i="21"/>
  <c r="AB875" i="21" s="1"/>
  <c r="AA876" i="21"/>
  <c r="AB876" i="21" s="1"/>
  <c r="AA877" i="21"/>
  <c r="AB877" i="21" s="1"/>
  <c r="AA878" i="21"/>
  <c r="AB878" i="21" s="1"/>
  <c r="AA879" i="21"/>
  <c r="AB879" i="21" s="1"/>
  <c r="AA880" i="21"/>
  <c r="AB880" i="21" s="1"/>
  <c r="AA881" i="21"/>
  <c r="AB881" i="21" s="1"/>
  <c r="AA882" i="21"/>
  <c r="AB882" i="21" s="1"/>
  <c r="AA883" i="21"/>
  <c r="AB883" i="21" s="1"/>
  <c r="AA884" i="21"/>
  <c r="AB884" i="21" s="1"/>
  <c r="AA885" i="21"/>
  <c r="AB885" i="21" s="1"/>
  <c r="AA886" i="21"/>
  <c r="AB886" i="21" s="1"/>
  <c r="AA887" i="21"/>
  <c r="AB887" i="21" s="1"/>
  <c r="AA888" i="21"/>
  <c r="AB888" i="21" s="1"/>
  <c r="AA889" i="21"/>
  <c r="AB889" i="21" s="1"/>
  <c r="AA890" i="21"/>
  <c r="AB890" i="21" s="1"/>
  <c r="AA891" i="21"/>
  <c r="AB891" i="21" s="1"/>
  <c r="AA892" i="21"/>
  <c r="AB892" i="21" s="1"/>
  <c r="AA893" i="21"/>
  <c r="AB893" i="21" s="1"/>
  <c r="AA894" i="21"/>
  <c r="AB894" i="21" s="1"/>
  <c r="AA895" i="21"/>
  <c r="AB895" i="21" s="1"/>
  <c r="AA896" i="21"/>
  <c r="AB896" i="21" s="1"/>
  <c r="AA897" i="21"/>
  <c r="AB897" i="21" s="1"/>
  <c r="AA898" i="21"/>
  <c r="AB898" i="21" s="1"/>
  <c r="AA899" i="21"/>
  <c r="AB899" i="21" s="1"/>
  <c r="AA900" i="21"/>
  <c r="AB900" i="21" s="1"/>
  <c r="AA901" i="21"/>
  <c r="AB901" i="21" s="1"/>
  <c r="AA902" i="21"/>
  <c r="AB902" i="21" s="1"/>
  <c r="AA903" i="21"/>
  <c r="AB903" i="21" s="1"/>
  <c r="AA904" i="21"/>
  <c r="AB904" i="21" s="1"/>
  <c r="AA905" i="21"/>
  <c r="AB905" i="21" s="1"/>
  <c r="AA906" i="21"/>
  <c r="AB906" i="21" s="1"/>
  <c r="AA907" i="21"/>
  <c r="AB907" i="21" s="1"/>
  <c r="AA908" i="21"/>
  <c r="AB908" i="21" s="1"/>
  <c r="AA909" i="21"/>
  <c r="AB909" i="21" s="1"/>
  <c r="AA910" i="21"/>
  <c r="AB910" i="21" s="1"/>
  <c r="AA911" i="21"/>
  <c r="AB911" i="21" s="1"/>
  <c r="AA912" i="21"/>
  <c r="AB912" i="21" s="1"/>
  <c r="AA913" i="21"/>
  <c r="AB913" i="21" s="1"/>
  <c r="AA914" i="21"/>
  <c r="AB914" i="21" s="1"/>
  <c r="AA915" i="21"/>
  <c r="AB915" i="21" s="1"/>
  <c r="AA916" i="21"/>
  <c r="AB916" i="21" s="1"/>
  <c r="AA917" i="21"/>
  <c r="AB917" i="21" s="1"/>
  <c r="AA918" i="21"/>
  <c r="AB918" i="21" s="1"/>
  <c r="AA919" i="21"/>
  <c r="AB919" i="21" s="1"/>
  <c r="AA920" i="21"/>
  <c r="AB920" i="21" s="1"/>
  <c r="AA921" i="21"/>
  <c r="AB921" i="21" s="1"/>
  <c r="AA922" i="21"/>
  <c r="AB922" i="21" s="1"/>
  <c r="AA923" i="21"/>
  <c r="AB923" i="21" s="1"/>
  <c r="AA924" i="21"/>
  <c r="AB924" i="21" s="1"/>
  <c r="AA925" i="21"/>
  <c r="AB925" i="21" s="1"/>
  <c r="AA926" i="21"/>
  <c r="AB926" i="21" s="1"/>
  <c r="AA927" i="21"/>
  <c r="AB927" i="21" s="1"/>
  <c r="AA928" i="21"/>
  <c r="AB928" i="21" s="1"/>
  <c r="AA929" i="21"/>
  <c r="AB929" i="21" s="1"/>
  <c r="AA930" i="21"/>
  <c r="AB930" i="21" s="1"/>
  <c r="AA931" i="21"/>
  <c r="AB931" i="21" s="1"/>
  <c r="AA932" i="21"/>
  <c r="AB932" i="21" s="1"/>
  <c r="AA933" i="21"/>
  <c r="AB933" i="21" s="1"/>
  <c r="AA934" i="21"/>
  <c r="AB934" i="21" s="1"/>
  <c r="AA935" i="21"/>
  <c r="AB935" i="21" s="1"/>
  <c r="AA936" i="21"/>
  <c r="AB936" i="21" s="1"/>
  <c r="AA937" i="21"/>
  <c r="AB937" i="21" s="1"/>
  <c r="AA938" i="21"/>
  <c r="AB938" i="21" s="1"/>
  <c r="AA939" i="21"/>
  <c r="AB939" i="21" s="1"/>
  <c r="AA940" i="21"/>
  <c r="AB940" i="21" s="1"/>
  <c r="AA941" i="21"/>
  <c r="AB941" i="21" s="1"/>
  <c r="AA942" i="21"/>
  <c r="AB942" i="21" s="1"/>
  <c r="AA943" i="21"/>
  <c r="AB943" i="21" s="1"/>
  <c r="AA944" i="21"/>
  <c r="AB944" i="21" s="1"/>
  <c r="AA945" i="21"/>
  <c r="AB945" i="21" s="1"/>
  <c r="AA946" i="21"/>
  <c r="AB946" i="21" s="1"/>
  <c r="AA947" i="21"/>
  <c r="AB947" i="21" s="1"/>
  <c r="AA948" i="21"/>
  <c r="AB948" i="21" s="1"/>
  <c r="AA949" i="21"/>
  <c r="AB949" i="21" s="1"/>
  <c r="AA950" i="21"/>
  <c r="AB950" i="21" s="1"/>
  <c r="AA951" i="21"/>
  <c r="AB951" i="21" s="1"/>
  <c r="AA952" i="21"/>
  <c r="AB952" i="21" s="1"/>
  <c r="AA953" i="21"/>
  <c r="AB953" i="21" s="1"/>
  <c r="AA954" i="21"/>
  <c r="AB954" i="21" s="1"/>
  <c r="AA955" i="21"/>
  <c r="AB955" i="21" s="1"/>
  <c r="AA956" i="21"/>
  <c r="AB956" i="21" s="1"/>
  <c r="AA957" i="21"/>
  <c r="AB957" i="21" s="1"/>
  <c r="AA958" i="21"/>
  <c r="AB958" i="21" s="1"/>
  <c r="AA959" i="21"/>
  <c r="AB959" i="21" s="1"/>
  <c r="AA960" i="21"/>
  <c r="AB960" i="21" s="1"/>
  <c r="AA961" i="21"/>
  <c r="AB961" i="21" s="1"/>
  <c r="AA962" i="21"/>
  <c r="AB962" i="21" s="1"/>
  <c r="AA963" i="21"/>
  <c r="AB963" i="21" s="1"/>
  <c r="AA964" i="21"/>
  <c r="AB964" i="21" s="1"/>
  <c r="AA965" i="21"/>
  <c r="AB965" i="21" s="1"/>
  <c r="AA966" i="21"/>
  <c r="AB966" i="21" s="1"/>
  <c r="AA967" i="21"/>
  <c r="AB967" i="21" s="1"/>
  <c r="AA968" i="21"/>
  <c r="AB968" i="21" s="1"/>
  <c r="AA969" i="21"/>
  <c r="AB969" i="21" s="1"/>
  <c r="AA970" i="21"/>
  <c r="AB970" i="21" s="1"/>
  <c r="AA971" i="21"/>
  <c r="AB971" i="21" s="1"/>
  <c r="AA972" i="21"/>
  <c r="AB972" i="21" s="1"/>
  <c r="AA973" i="21"/>
  <c r="AB973" i="21" s="1"/>
  <c r="AA974" i="21"/>
  <c r="AB974" i="21" s="1"/>
  <c r="AA975" i="21"/>
  <c r="AB975" i="21" s="1"/>
  <c r="AA976" i="21"/>
  <c r="AB976" i="21" s="1"/>
  <c r="AA977" i="21"/>
  <c r="AB977" i="21" s="1"/>
  <c r="AA978" i="21"/>
  <c r="AB978" i="21" s="1"/>
  <c r="AA979" i="21"/>
  <c r="AB979" i="21" s="1"/>
  <c r="AA980" i="21"/>
  <c r="AB980" i="21" s="1"/>
  <c r="AA981" i="21"/>
  <c r="AB981" i="21" s="1"/>
  <c r="AA982" i="21"/>
  <c r="AB982" i="21" s="1"/>
  <c r="AA983" i="21"/>
  <c r="AB983" i="21" s="1"/>
  <c r="AA984" i="21"/>
  <c r="AB984" i="21" s="1"/>
  <c r="AA985" i="21"/>
  <c r="AB985" i="21" s="1"/>
  <c r="AA986" i="21"/>
  <c r="AB986" i="21" s="1"/>
  <c r="AA987" i="21"/>
  <c r="AB987" i="21" s="1"/>
  <c r="AA988" i="21"/>
  <c r="AB988" i="21" s="1"/>
  <c r="AA989" i="21"/>
  <c r="AB989" i="21" s="1"/>
  <c r="AA990" i="21"/>
  <c r="AB990" i="21" s="1"/>
  <c r="AA991" i="21"/>
  <c r="AB991" i="21" s="1"/>
  <c r="AA992" i="21"/>
  <c r="AB992" i="21" s="1"/>
  <c r="AA993" i="21"/>
  <c r="AB993" i="21" s="1"/>
  <c r="AA994" i="21"/>
  <c r="AB994" i="21" s="1"/>
  <c r="AA995" i="21"/>
  <c r="AB995" i="21" s="1"/>
  <c r="AA996" i="21"/>
  <c r="AB996" i="21" s="1"/>
  <c r="AA997" i="21"/>
  <c r="AB997" i="21" s="1"/>
  <c r="AA998" i="21"/>
  <c r="AB998" i="21" s="1"/>
  <c r="AA999" i="21"/>
  <c r="AB999" i="21" s="1"/>
  <c r="AA1000" i="21"/>
  <c r="AB1000" i="21" s="1"/>
  <c r="AA1001" i="21"/>
  <c r="AB1001" i="21" s="1"/>
  <c r="AA1002" i="21"/>
  <c r="AB1002" i="21" s="1"/>
  <c r="AA1003" i="21"/>
  <c r="AB1003" i="21" s="1"/>
  <c r="AA1004" i="21"/>
  <c r="AB1004" i="21" s="1"/>
  <c r="AA1005" i="21"/>
  <c r="AB1005" i="21" s="1"/>
  <c r="AA1006" i="21"/>
  <c r="AB1006" i="21" s="1"/>
  <c r="AA1007" i="21"/>
  <c r="AB1007" i="21" s="1"/>
  <c r="AA1008" i="21"/>
  <c r="AB1008" i="21" s="1"/>
  <c r="AA1009" i="21"/>
  <c r="AB1009" i="21" s="1"/>
  <c r="AA1010" i="21"/>
  <c r="AB1010" i="21" s="1"/>
  <c r="AA1011" i="21"/>
  <c r="AB1011" i="21" s="1"/>
  <c r="AA1012" i="21"/>
  <c r="AB1012" i="21" s="1"/>
  <c r="AA1013" i="21"/>
  <c r="AB1013" i="21" s="1"/>
  <c r="AA1014" i="21"/>
  <c r="AB1014" i="21" s="1"/>
  <c r="AA1015" i="21"/>
  <c r="AB1015" i="21" s="1"/>
  <c r="AA1016" i="21"/>
  <c r="AB1016" i="21" s="1"/>
  <c r="AA1017" i="21"/>
  <c r="AB1017" i="21" s="1"/>
  <c r="AA1018" i="21"/>
  <c r="AB1018" i="21" s="1"/>
  <c r="AA1019" i="21"/>
  <c r="AB1019" i="21" s="1"/>
  <c r="AA1020" i="21"/>
  <c r="AB1020" i="21" s="1"/>
  <c r="AA1021" i="21"/>
  <c r="AB1021" i="21" s="1"/>
  <c r="AA1022" i="21"/>
  <c r="AB1022" i="21" s="1"/>
  <c r="AA1023" i="21"/>
  <c r="AB1023" i="21" s="1"/>
  <c r="AA1024" i="21"/>
  <c r="AB1024" i="21" s="1"/>
  <c r="AA1025" i="21"/>
  <c r="AB1025" i="21" s="1"/>
  <c r="AA1026" i="21"/>
  <c r="AB1026" i="21" s="1"/>
  <c r="AA1027" i="21"/>
  <c r="AB1027" i="21" s="1"/>
  <c r="AA1028" i="21"/>
  <c r="AB1028" i="21" s="1"/>
  <c r="AA1029" i="21"/>
  <c r="AB1029" i="21" s="1"/>
  <c r="AA1030" i="21"/>
  <c r="AB1030" i="21" s="1"/>
  <c r="AA1031" i="21"/>
  <c r="AB1031" i="21" s="1"/>
  <c r="AA1032" i="21"/>
  <c r="AB1032" i="21" s="1"/>
  <c r="AA1033" i="21"/>
  <c r="AB1033" i="21" s="1"/>
  <c r="AA1034" i="21"/>
  <c r="AB1034" i="21" s="1"/>
  <c r="AA1035" i="21"/>
  <c r="AB1035" i="21" s="1"/>
  <c r="AA1036" i="21"/>
  <c r="AB1036" i="21" s="1"/>
  <c r="AA1037" i="21"/>
  <c r="AB1037" i="21" s="1"/>
  <c r="AA1038" i="21"/>
  <c r="AB1038" i="21" s="1"/>
  <c r="AA1039" i="21"/>
  <c r="AB1039" i="21" s="1"/>
  <c r="AA1040" i="21"/>
  <c r="AB1040" i="21" s="1"/>
  <c r="AA1041" i="21"/>
  <c r="AB1041" i="21" s="1"/>
  <c r="AA1042" i="21"/>
  <c r="AB1042" i="21" s="1"/>
  <c r="AA1043" i="21"/>
  <c r="AB1043" i="21" s="1"/>
  <c r="AA1044" i="21"/>
  <c r="AB1044" i="21" s="1"/>
  <c r="AA1045" i="21"/>
  <c r="AB1045" i="21" s="1"/>
  <c r="AA1046" i="21"/>
  <c r="AB1046" i="21" s="1"/>
  <c r="AA1047" i="21"/>
  <c r="AB1047" i="21" s="1"/>
  <c r="AA1048" i="21"/>
  <c r="AB1048" i="21" s="1"/>
  <c r="AA1049" i="21"/>
  <c r="AB1049" i="21" s="1"/>
  <c r="AA1050" i="21"/>
  <c r="AB1050" i="21" s="1"/>
  <c r="AA1051" i="21"/>
  <c r="AB1051" i="21" s="1"/>
  <c r="AA1052" i="21"/>
  <c r="AB1052" i="21" s="1"/>
  <c r="AA1053" i="21"/>
  <c r="AB1053" i="21" s="1"/>
  <c r="AA1054" i="21"/>
  <c r="AB1054" i="21" s="1"/>
  <c r="AA1055" i="21"/>
  <c r="AB1055" i="21" s="1"/>
  <c r="AA1056" i="21"/>
  <c r="AB1056" i="21" s="1"/>
  <c r="AA1057" i="21"/>
  <c r="AB1057" i="21" s="1"/>
  <c r="AA1058" i="21"/>
  <c r="AB1058" i="21" s="1"/>
  <c r="AA1059" i="21"/>
  <c r="AB1059" i="21" s="1"/>
  <c r="AA1060" i="21"/>
  <c r="AB1060" i="21" s="1"/>
  <c r="AA1061" i="21"/>
  <c r="AB1061" i="21" s="1"/>
  <c r="AA1062" i="21"/>
  <c r="AB1062" i="21" s="1"/>
  <c r="AA1063" i="21"/>
  <c r="AB1063" i="21" s="1"/>
  <c r="AA1064" i="21"/>
  <c r="AB1064" i="21" s="1"/>
  <c r="AA1065" i="21"/>
  <c r="AB1065" i="21" s="1"/>
  <c r="AA1066" i="21"/>
  <c r="AB1066" i="21" s="1"/>
  <c r="AA1067" i="21"/>
  <c r="AB1067" i="21" s="1"/>
  <c r="AA1068" i="21"/>
  <c r="AB1068" i="21" s="1"/>
  <c r="AA1069" i="21"/>
  <c r="AB1069" i="21" s="1"/>
  <c r="AA1070" i="21"/>
  <c r="AB1070" i="21" s="1"/>
  <c r="AA1071" i="21"/>
  <c r="AB1071" i="21" s="1"/>
  <c r="AA1072" i="21"/>
  <c r="AB1072" i="21" s="1"/>
  <c r="AA1073" i="21"/>
  <c r="AB1073" i="21" s="1"/>
  <c r="AA1074" i="21"/>
  <c r="AB1074" i="21" s="1"/>
  <c r="AA1075" i="21"/>
  <c r="AB1075" i="21" s="1"/>
  <c r="AA1076" i="21"/>
  <c r="AB1076" i="21" s="1"/>
  <c r="AA1077" i="21"/>
  <c r="AB1077" i="21" s="1"/>
  <c r="AA1078" i="21"/>
  <c r="AB1078" i="21" s="1"/>
  <c r="AA1079" i="21"/>
  <c r="AB1079" i="21" s="1"/>
  <c r="AA1080" i="21"/>
  <c r="AB1080" i="21" s="1"/>
  <c r="AA1081" i="21"/>
  <c r="AB1081" i="21" s="1"/>
  <c r="AA1082" i="21"/>
  <c r="AB1082" i="21" s="1"/>
  <c r="AA1083" i="21"/>
  <c r="AB1083" i="21" s="1"/>
  <c r="AA1084" i="21"/>
  <c r="AB1084" i="21" s="1"/>
  <c r="AA1085" i="21"/>
  <c r="AB1085" i="21" s="1"/>
  <c r="AA1086" i="21"/>
  <c r="AB1086" i="21" s="1"/>
  <c r="AA8" i="21"/>
  <c r="AB8" i="21" s="1"/>
  <c r="AB114" i="21" l="1"/>
  <c r="T102" i="21"/>
  <c r="U102" i="21"/>
  <c r="W102" i="21"/>
  <c r="X102" i="21"/>
  <c r="Y102" i="21"/>
  <c r="D587" i="26" l="1"/>
  <c r="D587" i="27" s="1"/>
  <c r="D586" i="26"/>
  <c r="D586" i="27" s="1"/>
  <c r="D585" i="26"/>
  <c r="D585" i="27" s="1"/>
  <c r="D583" i="26"/>
  <c r="D583" i="27" s="1"/>
  <c r="D582" i="26"/>
  <c r="D582" i="27" s="1"/>
  <c r="D581" i="26"/>
  <c r="D581" i="27" s="1"/>
  <c r="D580" i="26"/>
  <c r="D580" i="27" s="1"/>
  <c r="D575" i="26"/>
  <c r="D575" i="27" s="1"/>
  <c r="D574" i="26"/>
  <c r="D574" i="27" s="1"/>
  <c r="D573" i="26"/>
  <c r="D573" i="27" s="1"/>
  <c r="D572" i="26"/>
  <c r="D572" i="27" s="1"/>
  <c r="D571" i="26"/>
  <c r="D571" i="27" s="1"/>
  <c r="D570" i="26"/>
  <c r="D570" i="27" s="1"/>
  <c r="D569" i="26"/>
  <c r="D569" i="27" s="1"/>
  <c r="D568" i="26"/>
  <c r="D568" i="27" s="1"/>
  <c r="D566" i="26"/>
  <c r="D566" i="27" s="1"/>
  <c r="D565" i="26"/>
  <c r="D565" i="27" s="1"/>
  <c r="D563" i="26"/>
  <c r="D563" i="27" s="1"/>
  <c r="D562" i="26"/>
  <c r="D562" i="27" s="1"/>
  <c r="D561" i="26"/>
  <c r="D561" i="27" s="1"/>
  <c r="D560" i="26"/>
  <c r="D560" i="27" s="1"/>
  <c r="D559" i="26"/>
  <c r="D559" i="27" s="1"/>
  <c r="D558" i="26"/>
  <c r="D558" i="27" s="1"/>
  <c r="D557" i="26"/>
  <c r="D557" i="27" s="1"/>
  <c r="D556" i="26"/>
  <c r="D556" i="27" s="1"/>
  <c r="D554" i="26"/>
  <c r="D554" i="27" s="1"/>
  <c r="D552" i="26"/>
  <c r="D552" i="27" s="1"/>
  <c r="D551" i="26"/>
  <c r="D551" i="27" s="1"/>
  <c r="D548" i="26"/>
  <c r="D548" i="27" s="1"/>
  <c r="D547" i="26"/>
  <c r="D547" i="27" s="1"/>
  <c r="D545" i="26"/>
  <c r="D545" i="27" s="1"/>
  <c r="D543" i="26"/>
  <c r="D543" i="27" s="1"/>
  <c r="D542" i="26"/>
  <c r="D542" i="27" s="1"/>
  <c r="D541" i="26"/>
  <c r="D541" i="27" s="1"/>
  <c r="D540" i="26"/>
  <c r="D540" i="27" s="1"/>
  <c r="D539" i="26"/>
  <c r="D539" i="27" s="1"/>
  <c r="D538" i="26"/>
  <c r="D538" i="27" s="1"/>
  <c r="D537" i="26"/>
  <c r="D537" i="27" s="1"/>
  <c r="D536" i="26"/>
  <c r="D536" i="27" s="1"/>
  <c r="D534" i="26"/>
  <c r="D534" i="27" s="1"/>
  <c r="D532" i="26"/>
  <c r="D532" i="27" s="1"/>
  <c r="D531" i="26"/>
  <c r="D531" i="27" s="1"/>
  <c r="D530" i="26"/>
  <c r="D530" i="27" s="1"/>
  <c r="D529" i="26"/>
  <c r="D529" i="27" s="1"/>
  <c r="D528" i="26"/>
  <c r="D528" i="27" s="1"/>
  <c r="D527" i="26"/>
  <c r="D527" i="27" s="1"/>
  <c r="D526" i="26"/>
  <c r="D526" i="27" s="1"/>
  <c r="D524" i="26"/>
  <c r="D524" i="27" s="1"/>
  <c r="D523" i="26"/>
  <c r="D523" i="27" s="1"/>
  <c r="D521" i="26"/>
  <c r="D521" i="27" s="1"/>
  <c r="D519" i="26"/>
  <c r="D519" i="27" s="1"/>
  <c r="D517" i="26"/>
  <c r="D517" i="27" s="1"/>
  <c r="D515" i="26"/>
  <c r="D515" i="27" s="1"/>
  <c r="D514" i="26"/>
  <c r="D514" i="27" s="1"/>
  <c r="D513" i="26"/>
  <c r="D513" i="27" s="1"/>
  <c r="D511" i="26"/>
  <c r="D511" i="27" s="1"/>
  <c r="D510" i="26"/>
  <c r="D510" i="27" s="1"/>
  <c r="D508" i="26"/>
  <c r="D508" i="27" s="1"/>
  <c r="D507" i="26"/>
  <c r="D507" i="27" s="1"/>
  <c r="D506" i="26"/>
  <c r="D506" i="27" s="1"/>
  <c r="D504" i="26"/>
  <c r="D504" i="27" s="1"/>
  <c r="D503" i="26"/>
  <c r="D503" i="27" s="1"/>
  <c r="D502" i="26"/>
  <c r="D502" i="27" s="1"/>
  <c r="D501" i="26"/>
  <c r="D501" i="27" s="1"/>
  <c r="D500" i="26"/>
  <c r="D500" i="27" s="1"/>
  <c r="D498" i="26"/>
  <c r="D498" i="27" s="1"/>
  <c r="D497" i="26"/>
  <c r="D497" i="27" s="1"/>
  <c r="D496" i="26"/>
  <c r="D496" i="27" s="1"/>
  <c r="D492" i="26"/>
  <c r="D492" i="27" s="1"/>
  <c r="D491" i="26"/>
  <c r="D491" i="27" s="1"/>
  <c r="D490" i="26"/>
  <c r="D490" i="27" s="1"/>
  <c r="D489" i="26"/>
  <c r="D489" i="27" s="1"/>
  <c r="D488" i="26"/>
  <c r="D488" i="27" s="1"/>
  <c r="D487" i="26"/>
  <c r="D487" i="27" s="1"/>
  <c r="D486" i="26"/>
  <c r="D486" i="27" s="1"/>
  <c r="D485" i="26"/>
  <c r="D485" i="27" s="1"/>
  <c r="D484" i="26"/>
  <c r="D484" i="27" s="1"/>
  <c r="D483" i="26"/>
  <c r="D483" i="27" s="1"/>
  <c r="D481" i="26"/>
  <c r="D481" i="27" s="1"/>
  <c r="D480" i="26"/>
  <c r="D480" i="27" s="1"/>
  <c r="D479" i="26"/>
  <c r="D479" i="27" s="1"/>
  <c r="D478" i="26"/>
  <c r="D478" i="27" s="1"/>
  <c r="D477" i="26"/>
  <c r="D477" i="27" s="1"/>
  <c r="D476" i="26"/>
  <c r="D476" i="27" s="1"/>
  <c r="D474" i="26"/>
  <c r="D474" i="27" s="1"/>
  <c r="D473" i="26"/>
  <c r="D473" i="27" s="1"/>
  <c r="D472" i="26"/>
  <c r="D472" i="27" s="1"/>
  <c r="D471" i="26"/>
  <c r="D471" i="27" s="1"/>
  <c r="D470" i="26"/>
  <c r="D470" i="27" s="1"/>
  <c r="D469" i="26"/>
  <c r="D469" i="27" s="1"/>
  <c r="D468" i="26"/>
  <c r="D468" i="27" s="1"/>
  <c r="D467" i="26"/>
  <c r="D467" i="27" s="1"/>
  <c r="D464" i="26"/>
  <c r="D464" i="27" s="1"/>
  <c r="D463" i="26"/>
  <c r="D463" i="27" s="1"/>
  <c r="D462" i="26"/>
  <c r="D462" i="27" s="1"/>
  <c r="D461" i="26"/>
  <c r="D461" i="27" s="1"/>
  <c r="D460" i="26"/>
  <c r="D460" i="27" s="1"/>
  <c r="D459" i="26"/>
  <c r="D459" i="27" s="1"/>
  <c r="D457" i="26"/>
  <c r="D457" i="27" s="1"/>
  <c r="D456" i="26"/>
  <c r="D456" i="27" s="1"/>
  <c r="D455" i="26"/>
  <c r="D455" i="27" s="1"/>
  <c r="D454" i="26"/>
  <c r="D454" i="27" s="1"/>
  <c r="D453" i="26"/>
  <c r="D453" i="27" s="1"/>
  <c r="D452" i="26"/>
  <c r="D452" i="27" s="1"/>
  <c r="D451" i="26"/>
  <c r="D451" i="27" s="1"/>
  <c r="D450" i="26"/>
  <c r="D450" i="27" s="1"/>
  <c r="D447" i="26"/>
  <c r="D447" i="27" s="1"/>
  <c r="D446" i="26"/>
  <c r="D446" i="27" s="1"/>
  <c r="D444" i="26"/>
  <c r="D444" i="27" s="1"/>
  <c r="D443" i="26"/>
  <c r="D443" i="27" s="1"/>
  <c r="D442" i="26"/>
  <c r="D442" i="27" s="1"/>
  <c r="D439" i="26"/>
  <c r="D439" i="27" s="1"/>
  <c r="D437" i="26"/>
  <c r="D437" i="27" s="1"/>
  <c r="D436" i="26"/>
  <c r="D436" i="27" s="1"/>
  <c r="D435" i="26"/>
  <c r="D435" i="27" s="1"/>
  <c r="D434" i="26"/>
  <c r="D434" i="27" s="1"/>
  <c r="D432" i="26"/>
  <c r="D432" i="27" s="1"/>
  <c r="D431" i="26"/>
  <c r="D431" i="27" s="1"/>
  <c r="D429" i="26"/>
  <c r="D429" i="27" s="1"/>
  <c r="D428" i="26"/>
  <c r="D428" i="27" s="1"/>
  <c r="D427" i="26"/>
  <c r="D427" i="27" s="1"/>
  <c r="D425" i="26"/>
  <c r="D425" i="27" s="1"/>
  <c r="D424" i="26"/>
  <c r="D424" i="27" s="1"/>
  <c r="D423" i="26"/>
  <c r="D423" i="27" s="1"/>
  <c r="D420" i="26"/>
  <c r="D420" i="27" s="1"/>
  <c r="D419" i="26"/>
  <c r="D419" i="27" s="1"/>
  <c r="D418" i="26"/>
  <c r="D418" i="27" s="1"/>
  <c r="D416" i="26"/>
  <c r="D416" i="27" s="1"/>
  <c r="D415" i="26"/>
  <c r="D415" i="27" s="1"/>
  <c r="D414" i="26"/>
  <c r="D414" i="27" s="1"/>
  <c r="D411" i="26"/>
  <c r="D411" i="27" s="1"/>
  <c r="D410" i="26"/>
  <c r="D410" i="27" s="1"/>
  <c r="D409" i="26"/>
  <c r="D409" i="27" s="1"/>
  <c r="D407" i="26"/>
  <c r="D407" i="27" s="1"/>
  <c r="D406" i="26"/>
  <c r="D406" i="27" s="1"/>
  <c r="D405" i="26"/>
  <c r="D405" i="27" s="1"/>
  <c r="D402" i="26"/>
  <c r="D402" i="27" s="1"/>
  <c r="D401" i="26"/>
  <c r="D401" i="27" s="1"/>
  <c r="D400" i="26"/>
  <c r="D400" i="27" s="1"/>
  <c r="D398" i="26"/>
  <c r="D398" i="27" s="1"/>
  <c r="D397" i="26"/>
  <c r="D397" i="27" s="1"/>
  <c r="D396" i="26"/>
  <c r="D396" i="27" s="1"/>
  <c r="D394" i="26"/>
  <c r="D394" i="27" s="1"/>
  <c r="D393" i="26"/>
  <c r="D393" i="27" s="1"/>
  <c r="D392" i="26"/>
  <c r="D392" i="27" s="1"/>
  <c r="D387" i="26"/>
  <c r="D387" i="27" s="1"/>
  <c r="D386" i="26"/>
  <c r="D386" i="27" s="1"/>
  <c r="D385" i="26"/>
  <c r="D385" i="27" s="1"/>
  <c r="D384" i="26"/>
  <c r="D384" i="27" s="1"/>
  <c r="D382" i="26"/>
  <c r="D382" i="27" s="1"/>
  <c r="D381" i="26"/>
  <c r="D381" i="27" s="1"/>
  <c r="D379" i="26"/>
  <c r="D379" i="27" s="1"/>
  <c r="D377" i="26"/>
  <c r="D377" i="27" s="1"/>
  <c r="D376" i="26"/>
  <c r="D376" i="27" s="1"/>
  <c r="D375" i="26"/>
  <c r="D375" i="27" s="1"/>
  <c r="D374" i="26"/>
  <c r="D374" i="27" s="1"/>
  <c r="D373" i="26"/>
  <c r="D373" i="27" s="1"/>
  <c r="D372" i="26"/>
  <c r="D372" i="27" s="1"/>
  <c r="D371" i="26"/>
  <c r="D371" i="27" s="1"/>
  <c r="D369" i="26"/>
  <c r="D369" i="27" s="1"/>
  <c r="D368" i="26"/>
  <c r="D368" i="27" s="1"/>
  <c r="D366" i="26"/>
  <c r="D366" i="27" s="1"/>
  <c r="D365" i="26"/>
  <c r="D365" i="27" s="1"/>
  <c r="D364" i="26"/>
  <c r="D364" i="27" s="1"/>
  <c r="D362" i="26"/>
  <c r="D362" i="27" s="1"/>
  <c r="D361" i="26"/>
  <c r="D361" i="27" s="1"/>
  <c r="D360" i="26"/>
  <c r="D360" i="27" s="1"/>
  <c r="D359" i="26"/>
  <c r="D359" i="27" s="1"/>
  <c r="D358" i="26"/>
  <c r="D358" i="27" s="1"/>
  <c r="D357" i="26"/>
  <c r="D357" i="27" s="1"/>
  <c r="D355" i="26"/>
  <c r="D355" i="27" s="1"/>
  <c r="D354" i="26"/>
  <c r="D354" i="27" s="1"/>
  <c r="D352" i="26"/>
  <c r="D352" i="27" s="1"/>
  <c r="D351" i="26"/>
  <c r="D351" i="27" s="1"/>
  <c r="D350" i="26"/>
  <c r="D350" i="27" s="1"/>
  <c r="D348" i="26"/>
  <c r="D348" i="27" s="1"/>
  <c r="D347" i="26"/>
  <c r="D347" i="27" s="1"/>
  <c r="D345" i="26"/>
  <c r="D345" i="27" s="1"/>
  <c r="D344" i="26"/>
  <c r="D344" i="27" s="1"/>
  <c r="D343" i="26"/>
  <c r="D343" i="27" s="1"/>
  <c r="D342" i="26"/>
  <c r="D342" i="27" s="1"/>
  <c r="D341" i="26"/>
  <c r="D341" i="27" s="1"/>
  <c r="D340" i="26"/>
  <c r="D340" i="27" s="1"/>
  <c r="D339" i="26"/>
  <c r="D339" i="27" s="1"/>
  <c r="D338" i="26"/>
  <c r="D338" i="27" s="1"/>
  <c r="D337" i="26"/>
  <c r="D337" i="27" s="1"/>
  <c r="D335" i="26"/>
  <c r="D335" i="27" s="1"/>
  <c r="D334" i="26"/>
  <c r="D334" i="27" s="1"/>
  <c r="D331" i="26"/>
  <c r="D331" i="27" s="1"/>
  <c r="D330" i="26"/>
  <c r="D330" i="27" s="1"/>
  <c r="D329" i="26"/>
  <c r="D329" i="27" s="1"/>
  <c r="D328" i="26"/>
  <c r="D328" i="27" s="1"/>
  <c r="D327" i="26"/>
  <c r="D327" i="27" s="1"/>
  <c r="D326" i="26"/>
  <c r="D326" i="27" s="1"/>
  <c r="D325" i="26"/>
  <c r="D325" i="27" s="1"/>
  <c r="D324" i="26"/>
  <c r="D324" i="27" s="1"/>
  <c r="D322" i="26"/>
  <c r="D322" i="27" s="1"/>
  <c r="D321" i="26"/>
  <c r="D321" i="27" s="1"/>
  <c r="D320" i="26"/>
  <c r="D320" i="27" s="1"/>
  <c r="D318" i="26"/>
  <c r="D318" i="27" s="1"/>
  <c r="D317" i="26"/>
  <c r="D317" i="27" s="1"/>
  <c r="D316" i="26"/>
  <c r="D316" i="27" s="1"/>
  <c r="D315" i="26"/>
  <c r="D315" i="27" s="1"/>
  <c r="D314" i="26"/>
  <c r="D314" i="27" s="1"/>
  <c r="D313" i="26"/>
  <c r="D313" i="27" s="1"/>
  <c r="D311" i="26"/>
  <c r="D311" i="27" s="1"/>
  <c r="D310" i="26"/>
  <c r="D310" i="27" s="1"/>
  <c r="D308" i="26"/>
  <c r="D308" i="27" s="1"/>
  <c r="D307" i="26"/>
  <c r="D307" i="27" s="1"/>
  <c r="D306" i="26"/>
  <c r="D306" i="27" s="1"/>
  <c r="D305" i="26"/>
  <c r="D305" i="27" s="1"/>
  <c r="D304" i="26"/>
  <c r="D304" i="27" s="1"/>
  <c r="D303" i="26"/>
  <c r="D303" i="27" s="1"/>
  <c r="D302" i="26"/>
  <c r="D302" i="27" s="1"/>
  <c r="D300" i="26"/>
  <c r="D300" i="27" s="1"/>
  <c r="D299" i="26"/>
  <c r="D299" i="27" s="1"/>
  <c r="D298" i="26"/>
  <c r="D298" i="27" s="1"/>
  <c r="D297" i="26"/>
  <c r="D297" i="27" s="1"/>
  <c r="D296" i="26"/>
  <c r="D296" i="27" s="1"/>
  <c r="D295" i="26"/>
  <c r="D295" i="27" s="1"/>
  <c r="D294" i="26"/>
  <c r="D294" i="27" s="1"/>
  <c r="D292" i="26"/>
  <c r="D292" i="27" s="1"/>
  <c r="D291" i="26"/>
  <c r="D291" i="27" s="1"/>
  <c r="D290" i="26"/>
  <c r="D290" i="27" s="1"/>
  <c r="D289" i="26"/>
  <c r="D289" i="27" s="1"/>
  <c r="D288" i="26"/>
  <c r="D288" i="27" s="1"/>
  <c r="D287" i="26"/>
  <c r="D287" i="27" s="1"/>
  <c r="D286" i="26"/>
  <c r="D286" i="27" s="1"/>
  <c r="D283" i="26"/>
  <c r="D283" i="27" s="1"/>
  <c r="D282" i="26"/>
  <c r="D282" i="27" s="1"/>
  <c r="D281" i="26"/>
  <c r="D281" i="27" s="1"/>
  <c r="D280" i="26"/>
  <c r="D280" i="27" s="1"/>
  <c r="D278" i="26"/>
  <c r="D278" i="27" s="1"/>
  <c r="D277" i="26"/>
  <c r="D277" i="27" s="1"/>
  <c r="D276" i="26"/>
  <c r="D276" i="27" s="1"/>
  <c r="D275" i="26"/>
  <c r="D275" i="27" s="1"/>
  <c r="D274" i="26"/>
  <c r="D274" i="27" s="1"/>
  <c r="D272" i="26"/>
  <c r="D272" i="27" s="1"/>
  <c r="D271" i="26"/>
  <c r="D271" i="27" s="1"/>
  <c r="D270" i="26"/>
  <c r="D270" i="27" s="1"/>
  <c r="D269" i="26"/>
  <c r="D269" i="27" s="1"/>
  <c r="D268" i="26"/>
  <c r="D268" i="27" s="1"/>
  <c r="D267" i="26"/>
  <c r="D267" i="27" s="1"/>
  <c r="D265" i="26"/>
  <c r="D265" i="27" s="1"/>
  <c r="D264" i="26"/>
  <c r="D264" i="27" s="1"/>
  <c r="D263" i="26"/>
  <c r="D263" i="27" s="1"/>
  <c r="D262" i="26"/>
  <c r="D262" i="27" s="1"/>
  <c r="D261" i="26"/>
  <c r="D261" i="27" s="1"/>
  <c r="D259" i="26"/>
  <c r="D259" i="27" s="1"/>
  <c r="D258" i="26"/>
  <c r="D258" i="27" s="1"/>
  <c r="D257" i="26"/>
  <c r="D257" i="27" s="1"/>
  <c r="D256" i="26"/>
  <c r="D256" i="27" s="1"/>
  <c r="D255" i="26"/>
  <c r="D255" i="27" s="1"/>
  <c r="D253" i="26"/>
  <c r="D253" i="27" s="1"/>
  <c r="D252" i="26"/>
  <c r="D252" i="27" s="1"/>
  <c r="D251" i="26"/>
  <c r="D251" i="27" s="1"/>
  <c r="D249" i="26"/>
  <c r="D249" i="27" s="1"/>
  <c r="D248" i="26"/>
  <c r="D248" i="27" s="1"/>
  <c r="D247" i="26"/>
  <c r="D247" i="27" s="1"/>
  <c r="D246" i="26"/>
  <c r="D246" i="27" s="1"/>
  <c r="D244" i="26"/>
  <c r="D244" i="27" s="1"/>
  <c r="D243" i="26"/>
  <c r="D243" i="27" s="1"/>
  <c r="D242" i="26"/>
  <c r="D242" i="27" s="1"/>
  <c r="D241" i="26"/>
  <c r="D241" i="27" s="1"/>
  <c r="D239" i="26"/>
  <c r="D239" i="27" s="1"/>
  <c r="D238" i="26"/>
  <c r="D238" i="27" s="1"/>
  <c r="D237" i="26"/>
  <c r="D237" i="27" s="1"/>
  <c r="D236" i="26"/>
  <c r="D236" i="27" s="1"/>
  <c r="D235" i="26"/>
  <c r="D235" i="27" s="1"/>
  <c r="D233" i="26"/>
  <c r="D233" i="27" s="1"/>
  <c r="D232" i="26"/>
  <c r="D232" i="27" s="1"/>
  <c r="D231" i="26"/>
  <c r="D231" i="27" s="1"/>
  <c r="D230" i="26"/>
  <c r="D230" i="27" s="1"/>
  <c r="D229" i="26"/>
  <c r="D229" i="27" s="1"/>
  <c r="D228" i="26"/>
  <c r="D228" i="27" s="1"/>
  <c r="D227" i="26"/>
  <c r="D227" i="27" s="1"/>
  <c r="D226" i="26"/>
  <c r="D226" i="27" s="1"/>
  <c r="D225" i="26"/>
  <c r="D225" i="27" s="1"/>
  <c r="D224" i="26"/>
  <c r="D224" i="27" s="1"/>
  <c r="D222" i="26"/>
  <c r="D222" i="27" s="1"/>
  <c r="D221" i="26"/>
  <c r="D221" i="27" s="1"/>
  <c r="D220" i="26"/>
  <c r="D220" i="27" s="1"/>
  <c r="D219" i="26"/>
  <c r="D219" i="27" s="1"/>
  <c r="D218" i="26"/>
  <c r="D218" i="27" s="1"/>
  <c r="D217" i="26"/>
  <c r="D217" i="27" s="1"/>
  <c r="D216" i="26"/>
  <c r="D216" i="27" s="1"/>
  <c r="D214" i="26"/>
  <c r="D214" i="27" s="1"/>
  <c r="D213" i="26"/>
  <c r="D213" i="27" s="1"/>
  <c r="D212" i="26"/>
  <c r="D212" i="27" s="1"/>
  <c r="D210" i="26"/>
  <c r="D210" i="27" s="1"/>
  <c r="D209" i="26"/>
  <c r="D209" i="27" s="1"/>
  <c r="D208" i="26"/>
  <c r="D208" i="27" s="1"/>
  <c r="D207" i="26"/>
  <c r="D207" i="27" s="1"/>
  <c r="D206" i="26"/>
  <c r="D206" i="27" s="1"/>
  <c r="D205" i="26"/>
  <c r="D205" i="27" s="1"/>
  <c r="D200" i="26"/>
  <c r="D200" i="27" s="1"/>
  <c r="D199" i="26"/>
  <c r="D199" i="27" s="1"/>
  <c r="D198" i="26"/>
  <c r="D198" i="27" s="1"/>
  <c r="D197" i="26"/>
  <c r="D197" i="27" s="1"/>
  <c r="D196" i="26"/>
  <c r="D196" i="27" s="1"/>
  <c r="D195" i="26"/>
  <c r="D195" i="27" s="1"/>
  <c r="D194" i="26"/>
  <c r="D194" i="27" s="1"/>
  <c r="D192" i="26"/>
  <c r="D192" i="27" s="1"/>
  <c r="D191" i="26"/>
  <c r="D191" i="27" s="1"/>
  <c r="D190" i="26"/>
  <c r="D190" i="27" s="1"/>
  <c r="D189" i="26"/>
  <c r="D189" i="27" s="1"/>
  <c r="D188" i="26"/>
  <c r="D188" i="27" s="1"/>
  <c r="D187" i="26"/>
  <c r="D187" i="27" s="1"/>
  <c r="D185" i="26"/>
  <c r="D185" i="27" s="1"/>
  <c r="D183" i="26"/>
  <c r="D183" i="27" s="1"/>
  <c r="D182" i="26"/>
  <c r="D182" i="27" s="1"/>
  <c r="D181" i="26"/>
  <c r="D181" i="27" s="1"/>
  <c r="D180" i="26"/>
  <c r="D180" i="27" s="1"/>
  <c r="D179" i="26"/>
  <c r="D179" i="27" s="1"/>
  <c r="D178" i="26"/>
  <c r="D178" i="27" s="1"/>
  <c r="D177" i="26"/>
  <c r="D177" i="27" s="1"/>
  <c r="D176" i="26"/>
  <c r="D176" i="27" s="1"/>
  <c r="D174" i="26"/>
  <c r="D174" i="27" s="1"/>
  <c r="D173" i="26"/>
  <c r="D173" i="27" s="1"/>
  <c r="D172" i="26"/>
  <c r="D172" i="27" s="1"/>
  <c r="D170" i="26"/>
  <c r="D170" i="27" s="1"/>
  <c r="D169" i="26"/>
  <c r="D169" i="27" s="1"/>
  <c r="D168" i="26"/>
  <c r="D168" i="27" s="1"/>
  <c r="D166" i="26"/>
  <c r="D166" i="27" s="1"/>
  <c r="D165" i="26"/>
  <c r="D165" i="27" s="1"/>
  <c r="D164" i="26"/>
  <c r="D164" i="27" s="1"/>
  <c r="D158" i="26"/>
  <c r="D158" i="27" s="1"/>
  <c r="D157" i="26"/>
  <c r="D157" i="27" s="1"/>
  <c r="D156" i="26"/>
  <c r="D156" i="27" s="1"/>
  <c r="D154" i="26"/>
  <c r="D154" i="27" s="1"/>
  <c r="D153" i="26"/>
  <c r="D153" i="27" s="1"/>
  <c r="D152" i="26"/>
  <c r="D152" i="27" s="1"/>
  <c r="D151" i="26"/>
  <c r="D151" i="27" s="1"/>
  <c r="D150" i="26"/>
  <c r="D150" i="27" s="1"/>
  <c r="D149" i="26"/>
  <c r="D149" i="27" s="1"/>
  <c r="D148" i="26"/>
  <c r="D148" i="27" s="1"/>
  <c r="D146" i="26"/>
  <c r="D146" i="27" s="1"/>
  <c r="D145" i="26"/>
  <c r="D145" i="27" s="1"/>
  <c r="D144" i="26"/>
  <c r="D144" i="27" s="1"/>
  <c r="D142" i="26"/>
  <c r="D142" i="27" s="1"/>
  <c r="D141" i="26"/>
  <c r="D141" i="27" s="1"/>
  <c r="D140" i="26"/>
  <c r="D140" i="27" s="1"/>
  <c r="D139" i="26"/>
  <c r="D139" i="27" s="1"/>
  <c r="D138" i="26"/>
  <c r="D138" i="27" s="1"/>
  <c r="D135" i="26"/>
  <c r="D135" i="27" s="1"/>
  <c r="D134" i="26"/>
  <c r="D134" i="27" s="1"/>
  <c r="D133" i="26"/>
  <c r="D133" i="27" s="1"/>
  <c r="D131" i="26"/>
  <c r="D131" i="27" s="1"/>
  <c r="D130" i="26"/>
  <c r="D130" i="27" s="1"/>
  <c r="D129" i="26"/>
  <c r="D129" i="27" s="1"/>
  <c r="D128" i="26"/>
  <c r="D128" i="27" s="1"/>
  <c r="D126" i="26"/>
  <c r="D126" i="27" s="1"/>
  <c r="D125" i="26"/>
  <c r="D125" i="27" s="1"/>
  <c r="D123" i="26"/>
  <c r="D123" i="27" s="1"/>
  <c r="D121" i="26"/>
  <c r="D121" i="27" s="1"/>
  <c r="D120" i="26"/>
  <c r="D120" i="27" s="1"/>
  <c r="D119" i="26"/>
  <c r="D119" i="27" s="1"/>
  <c r="D118" i="26"/>
  <c r="D118" i="27" s="1"/>
  <c r="D117" i="26"/>
  <c r="D117" i="27" s="1"/>
  <c r="D116" i="26"/>
  <c r="D116" i="27" s="1"/>
  <c r="D115" i="26"/>
  <c r="D115" i="27" s="1"/>
  <c r="D113" i="26"/>
  <c r="D113" i="27" s="1"/>
  <c r="D112" i="26"/>
  <c r="D112" i="27" s="1"/>
  <c r="D111" i="26"/>
  <c r="D111" i="27" s="1"/>
  <c r="D110" i="26"/>
  <c r="D110" i="27" s="1"/>
  <c r="D109" i="26"/>
  <c r="D109" i="27" s="1"/>
  <c r="D108" i="26"/>
  <c r="D108" i="27" s="1"/>
  <c r="D106" i="26"/>
  <c r="D106" i="27" s="1"/>
  <c r="D105" i="26"/>
  <c r="D105" i="27" s="1"/>
  <c r="D104" i="26"/>
  <c r="D104" i="27" s="1"/>
  <c r="D103" i="26"/>
  <c r="D103" i="27" s="1"/>
  <c r="D102" i="26"/>
  <c r="D102" i="27" s="1"/>
  <c r="D100" i="26"/>
  <c r="D100" i="27" s="1"/>
  <c r="D99" i="26"/>
  <c r="D99" i="27" s="1"/>
  <c r="D98" i="26"/>
  <c r="D98" i="27" s="1"/>
  <c r="D97" i="26"/>
  <c r="D97" i="27" s="1"/>
  <c r="D96" i="26"/>
  <c r="D96" i="27" s="1"/>
  <c r="D95" i="26"/>
  <c r="D95" i="27" s="1"/>
  <c r="D94" i="26"/>
  <c r="D94" i="27" s="1"/>
  <c r="D93" i="26"/>
  <c r="D93" i="27" s="1"/>
  <c r="D92" i="26"/>
  <c r="D92" i="27" s="1"/>
  <c r="D91" i="26"/>
  <c r="D91" i="27" s="1"/>
  <c r="D90" i="26"/>
  <c r="D90" i="27" s="1"/>
  <c r="D89" i="26"/>
  <c r="D89" i="27" s="1"/>
  <c r="D88" i="26"/>
  <c r="D88" i="27" s="1"/>
  <c r="D87" i="26"/>
  <c r="D87" i="27" s="1"/>
  <c r="D85" i="26"/>
  <c r="D85" i="27" s="1"/>
  <c r="D84" i="26"/>
  <c r="D84" i="27" s="1"/>
  <c r="D83" i="26"/>
  <c r="D83" i="27" s="1"/>
  <c r="D82" i="26"/>
  <c r="D82" i="27" s="1"/>
  <c r="D81" i="26"/>
  <c r="D81" i="27" s="1"/>
  <c r="D80" i="26"/>
  <c r="D80" i="27" s="1"/>
  <c r="D79" i="26"/>
  <c r="D79" i="27" s="1"/>
  <c r="D78" i="26"/>
  <c r="D78" i="27" s="1"/>
  <c r="D77" i="26"/>
  <c r="D77" i="27" s="1"/>
  <c r="D76" i="26"/>
  <c r="D76" i="27" s="1"/>
  <c r="D75" i="26"/>
  <c r="D75" i="27" s="1"/>
  <c r="D74" i="26"/>
  <c r="D74" i="27" s="1"/>
  <c r="D73" i="26"/>
  <c r="D73" i="27" s="1"/>
  <c r="D72" i="26"/>
  <c r="D72" i="27" s="1"/>
  <c r="D71" i="26"/>
  <c r="D71" i="27" s="1"/>
  <c r="D70" i="26"/>
  <c r="D70" i="27" s="1"/>
  <c r="D66" i="26"/>
  <c r="D66" i="27" s="1"/>
  <c r="D65" i="26"/>
  <c r="D65" i="27" s="1"/>
  <c r="D64" i="26"/>
  <c r="D64" i="27" s="1"/>
  <c r="D63" i="26"/>
  <c r="D63" i="27" s="1"/>
  <c r="D62" i="26"/>
  <c r="D62" i="27" s="1"/>
  <c r="D60" i="26"/>
  <c r="D60" i="27" s="1"/>
  <c r="D59" i="26"/>
  <c r="D59" i="27" s="1"/>
  <c r="D57" i="26"/>
  <c r="D57" i="27" s="1"/>
  <c r="D56" i="26"/>
  <c r="D56" i="27" s="1"/>
  <c r="D55" i="26"/>
  <c r="D55" i="27" s="1"/>
  <c r="D54" i="26"/>
  <c r="D54" i="27" s="1"/>
  <c r="D53" i="26"/>
  <c r="D53" i="27" s="1"/>
  <c r="D51" i="26"/>
  <c r="D51" i="27" s="1"/>
  <c r="D50" i="26"/>
  <c r="D50" i="27" s="1"/>
  <c r="D49" i="26"/>
  <c r="D49" i="27" s="1"/>
  <c r="D48" i="26"/>
  <c r="D48" i="27" s="1"/>
  <c r="D47" i="26"/>
  <c r="D47" i="27" s="1"/>
  <c r="D45" i="26"/>
  <c r="D45" i="27" s="1"/>
  <c r="D44" i="26"/>
  <c r="D44" i="27" s="1"/>
  <c r="D42" i="26"/>
  <c r="D42" i="27" s="1"/>
  <c r="D41" i="26"/>
  <c r="D41" i="27" s="1"/>
  <c r="D40" i="26"/>
  <c r="D40" i="27" s="1"/>
  <c r="D39" i="26"/>
  <c r="D39" i="27" s="1"/>
  <c r="D36" i="26"/>
  <c r="D36" i="27" s="1"/>
  <c r="D35" i="26"/>
  <c r="D35" i="27" s="1"/>
  <c r="D34" i="26"/>
  <c r="D34" i="27" s="1"/>
  <c r="D33" i="26"/>
  <c r="D33" i="27" s="1"/>
  <c r="D31" i="26"/>
  <c r="D31" i="27" s="1"/>
  <c r="D30" i="26"/>
  <c r="D30" i="27" s="1"/>
  <c r="Y752" i="21" l="1"/>
  <c r="X752" i="21"/>
  <c r="W752" i="21"/>
  <c r="U752" i="21"/>
  <c r="T752" i="21"/>
  <c r="X191" i="21" l="1"/>
  <c r="Y191" i="21" s="1"/>
  <c r="W191" i="21"/>
  <c r="T191" i="21"/>
  <c r="U191" i="21" s="1"/>
  <c r="Y190" i="21"/>
  <c r="X190" i="21"/>
  <c r="W190" i="21"/>
  <c r="T190" i="21"/>
  <c r="U190" i="21" s="1"/>
  <c r="Y1029" i="21" l="1"/>
  <c r="X1029" i="21"/>
  <c r="W1029" i="21"/>
  <c r="U1029" i="21"/>
  <c r="T1029" i="21"/>
  <c r="Y1028" i="21"/>
  <c r="X1028" i="21"/>
  <c r="W1028" i="21"/>
  <c r="U1028" i="21"/>
  <c r="T1028" i="21"/>
  <c r="Y993" i="21"/>
  <c r="X993" i="21"/>
  <c r="W993" i="21"/>
  <c r="U993" i="21"/>
  <c r="T993" i="21"/>
  <c r="Y932" i="21"/>
  <c r="X932" i="21"/>
  <c r="W932" i="21"/>
  <c r="U932" i="21"/>
  <c r="T932" i="21"/>
  <c r="Y931" i="21"/>
  <c r="X931" i="21"/>
  <c r="W931" i="21"/>
  <c r="U931" i="21"/>
  <c r="T931" i="21"/>
  <c r="Y927" i="21"/>
  <c r="X927" i="21"/>
  <c r="W927" i="21"/>
  <c r="U927" i="21"/>
  <c r="T927" i="21"/>
  <c r="Y926" i="21"/>
  <c r="X926" i="21"/>
  <c r="W926" i="21"/>
  <c r="U926" i="21"/>
  <c r="T926" i="21"/>
  <c r="Y922" i="21"/>
  <c r="X922" i="21"/>
  <c r="W922" i="21"/>
  <c r="U922" i="21"/>
  <c r="T922" i="21"/>
  <c r="Y921" i="21"/>
  <c r="X921" i="21"/>
  <c r="W921" i="21"/>
  <c r="T921" i="21"/>
  <c r="U921" i="21" s="1"/>
  <c r="Y895" i="21"/>
  <c r="X895" i="21"/>
  <c r="W895" i="21"/>
  <c r="U895" i="21"/>
  <c r="T895" i="21"/>
  <c r="Y883" i="21"/>
  <c r="X883" i="21"/>
  <c r="W883" i="21"/>
  <c r="U883" i="21"/>
  <c r="T883" i="21"/>
  <c r="Y861" i="21"/>
  <c r="X861" i="21"/>
  <c r="W861" i="21"/>
  <c r="U861" i="21"/>
  <c r="T861" i="21"/>
  <c r="Y860" i="21"/>
  <c r="X860" i="21"/>
  <c r="W860" i="21"/>
  <c r="T860" i="21"/>
  <c r="U860" i="21" s="1"/>
  <c r="X859" i="21"/>
  <c r="Y859" i="21" s="1"/>
  <c r="W859" i="21"/>
  <c r="U859" i="21"/>
  <c r="T859" i="21"/>
  <c r="Y852" i="21"/>
  <c r="X852" i="21"/>
  <c r="W852" i="21"/>
  <c r="U852" i="21"/>
  <c r="T852" i="21"/>
  <c r="Y851" i="21"/>
  <c r="X851" i="21"/>
  <c r="W851" i="21"/>
  <c r="T851" i="21"/>
  <c r="U851" i="21" s="1"/>
  <c r="Y850" i="21"/>
  <c r="X850" i="21"/>
  <c r="W850" i="21"/>
  <c r="U850" i="21"/>
  <c r="T850" i="21"/>
  <c r="Y849" i="21"/>
  <c r="X849" i="21"/>
  <c r="W849" i="21"/>
  <c r="T849" i="21"/>
  <c r="U849" i="21" s="1"/>
  <c r="Y848" i="21"/>
  <c r="X848" i="21"/>
  <c r="W848" i="21"/>
  <c r="U848" i="21"/>
  <c r="T848" i="21"/>
  <c r="Y847" i="21"/>
  <c r="X847" i="21"/>
  <c r="W847" i="21"/>
  <c r="T847" i="21"/>
  <c r="U847" i="21" s="1"/>
  <c r="Y845" i="21"/>
  <c r="X845" i="21"/>
  <c r="W845" i="21"/>
  <c r="U845" i="21"/>
  <c r="T845" i="21"/>
  <c r="Y844" i="21"/>
  <c r="X844" i="21"/>
  <c r="W844" i="21"/>
  <c r="T844" i="21"/>
  <c r="U844" i="21" s="1"/>
  <c r="Y843" i="21"/>
  <c r="X843" i="21"/>
  <c r="W843" i="21"/>
  <c r="U843" i="21"/>
  <c r="T843" i="21"/>
  <c r="Y842" i="21"/>
  <c r="X842" i="21"/>
  <c r="W842" i="21"/>
  <c r="T842" i="21"/>
  <c r="U842" i="21" s="1"/>
  <c r="Y841" i="21"/>
  <c r="X841" i="21"/>
  <c r="W841" i="21"/>
  <c r="U841" i="21"/>
  <c r="T841" i="21"/>
  <c r="Y840" i="21"/>
  <c r="X840" i="21"/>
  <c r="W840" i="21"/>
  <c r="T840" i="21"/>
  <c r="U840" i="21" s="1"/>
  <c r="Y839" i="21"/>
  <c r="X839" i="21"/>
  <c r="W839" i="21"/>
  <c r="U839" i="21"/>
  <c r="T839" i="21"/>
  <c r="Y838" i="21"/>
  <c r="X838" i="21"/>
  <c r="W838" i="21"/>
  <c r="T838" i="21"/>
  <c r="U838" i="21" s="1"/>
  <c r="Y781" i="21"/>
  <c r="X781" i="21"/>
  <c r="W781" i="21"/>
  <c r="U781" i="21"/>
  <c r="T781" i="21"/>
  <c r="Y749" i="21"/>
  <c r="X749" i="21"/>
  <c r="W749" i="21"/>
  <c r="U749" i="21"/>
  <c r="T749" i="21"/>
  <c r="Y744" i="21"/>
  <c r="X744" i="21"/>
  <c r="W744" i="21"/>
  <c r="U744" i="21"/>
  <c r="T744" i="21"/>
  <c r="Y742" i="21"/>
  <c r="X742" i="21"/>
  <c r="W742" i="21"/>
  <c r="U742" i="21"/>
  <c r="T742" i="21"/>
  <c r="Y739" i="21"/>
  <c r="X739" i="21"/>
  <c r="W739" i="21"/>
  <c r="U739" i="21"/>
  <c r="T739" i="21"/>
  <c r="Y731" i="21"/>
  <c r="X731" i="21"/>
  <c r="W731" i="21"/>
  <c r="U731" i="21"/>
  <c r="T731" i="21"/>
  <c r="Y730" i="21"/>
  <c r="X730" i="21"/>
  <c r="W730" i="21"/>
  <c r="U730" i="21"/>
  <c r="T730" i="21"/>
  <c r="Y707" i="21"/>
  <c r="X707" i="21"/>
  <c r="W707" i="21"/>
  <c r="U707" i="21"/>
  <c r="T707" i="21"/>
  <c r="Y706" i="21"/>
  <c r="X706" i="21"/>
  <c r="W706" i="21"/>
  <c r="U706" i="21"/>
  <c r="T706" i="21"/>
  <c r="X705" i="21"/>
  <c r="Y705" i="21" s="1"/>
  <c r="W705" i="21"/>
  <c r="U705" i="21"/>
  <c r="T705" i="21"/>
  <c r="Y704" i="21"/>
  <c r="X704" i="21"/>
  <c r="W704" i="21"/>
  <c r="U704" i="21"/>
  <c r="T704" i="21"/>
  <c r="X703" i="21"/>
  <c r="Y703" i="21" s="1"/>
  <c r="W703" i="21"/>
  <c r="U703" i="21"/>
  <c r="T703" i="21"/>
  <c r="X702" i="21"/>
  <c r="Y702" i="21" s="1"/>
  <c r="W702" i="21"/>
  <c r="U702" i="21"/>
  <c r="T702" i="21"/>
  <c r="X700" i="21"/>
  <c r="Y700" i="21" s="1"/>
  <c r="W700" i="21"/>
  <c r="U700" i="21"/>
  <c r="T700" i="21"/>
  <c r="Y699" i="21"/>
  <c r="X699" i="21"/>
  <c r="W699" i="21"/>
  <c r="T699" i="21"/>
  <c r="U699" i="21" s="1"/>
  <c r="X698" i="21"/>
  <c r="Y698" i="21" s="1"/>
  <c r="W698" i="21"/>
  <c r="U698" i="21"/>
  <c r="T698" i="21"/>
  <c r="X697" i="21"/>
  <c r="Y697" i="21" s="1"/>
  <c r="W697" i="21"/>
  <c r="T697" i="21"/>
  <c r="U697" i="21" s="1"/>
  <c r="X696" i="21"/>
  <c r="Y696" i="21" s="1"/>
  <c r="W696" i="21"/>
  <c r="U696" i="21"/>
  <c r="T696" i="21"/>
  <c r="X695" i="21"/>
  <c r="Y695" i="21" s="1"/>
  <c r="W695" i="21"/>
  <c r="T695" i="21"/>
  <c r="U695" i="21" s="1"/>
  <c r="Y694" i="21"/>
  <c r="X694" i="21"/>
  <c r="W694" i="21"/>
  <c r="U694" i="21"/>
  <c r="T694" i="21"/>
  <c r="X693" i="21"/>
  <c r="Y693" i="21" s="1"/>
  <c r="W693" i="21"/>
  <c r="T693" i="21"/>
  <c r="U693" i="21" s="1"/>
  <c r="X388" i="21"/>
  <c r="Y388" i="21" s="1"/>
  <c r="W388" i="21"/>
  <c r="T388" i="21"/>
  <c r="U388" i="21" s="1"/>
  <c r="Y341" i="21"/>
  <c r="X341" i="21"/>
  <c r="W341" i="21"/>
  <c r="U341" i="21"/>
  <c r="T341" i="21"/>
  <c r="Y340" i="21"/>
  <c r="X340" i="21"/>
  <c r="W340" i="21"/>
  <c r="U340" i="21"/>
  <c r="T340" i="21"/>
  <c r="Y241" i="21"/>
  <c r="X241" i="21"/>
  <c r="W241" i="21"/>
  <c r="U241" i="21"/>
  <c r="T241" i="21"/>
  <c r="Y240" i="21"/>
  <c r="X240" i="21"/>
  <c r="W240" i="21"/>
  <c r="U240" i="21"/>
  <c r="T240" i="21"/>
  <c r="Y183" i="21"/>
  <c r="X183" i="21"/>
  <c r="W183" i="21"/>
  <c r="U183" i="21"/>
  <c r="T183" i="21"/>
  <c r="Y186" i="21"/>
  <c r="X186" i="21"/>
  <c r="W186" i="21"/>
  <c r="T186" i="21"/>
  <c r="U186" i="21" s="1"/>
  <c r="Y185" i="21"/>
  <c r="X185" i="21"/>
  <c r="W185" i="21"/>
  <c r="U185" i="21"/>
  <c r="T185" i="21"/>
  <c r="Y184" i="21"/>
  <c r="X184" i="21"/>
  <c r="W184" i="21"/>
  <c r="T184" i="21"/>
  <c r="U184" i="21" s="1"/>
  <c r="Y182" i="21"/>
  <c r="X182" i="21"/>
  <c r="W182" i="21"/>
  <c r="U182" i="21"/>
  <c r="T182" i="21"/>
  <c r="X181" i="21"/>
  <c r="Y181" i="21" s="1"/>
  <c r="W181" i="21"/>
  <c r="U181" i="21"/>
  <c r="T181" i="21"/>
  <c r="X180" i="21"/>
  <c r="Y180" i="21" s="1"/>
  <c r="W180" i="21"/>
  <c r="U180" i="21"/>
  <c r="T180" i="21"/>
  <c r="Y179" i="21"/>
  <c r="X179" i="21"/>
  <c r="W179" i="21"/>
  <c r="T179" i="21"/>
  <c r="U179" i="21" s="1"/>
  <c r="Y178" i="21"/>
  <c r="X178" i="21"/>
  <c r="W178" i="21"/>
  <c r="T178" i="21"/>
  <c r="U178" i="21" s="1"/>
  <c r="Y177" i="21"/>
  <c r="X177" i="21"/>
  <c r="W177" i="21"/>
  <c r="T177" i="21"/>
  <c r="U177" i="21" s="1"/>
  <c r="Y176" i="21"/>
  <c r="X176" i="21"/>
  <c r="W176" i="21"/>
  <c r="U176" i="21"/>
  <c r="T176" i="21"/>
  <c r="X118" i="21"/>
  <c r="Y118" i="21" s="1"/>
  <c r="W118" i="21"/>
  <c r="U118" i="21"/>
  <c r="T118" i="21"/>
  <c r="Y117" i="21"/>
  <c r="X117" i="21"/>
  <c r="W117" i="21"/>
  <c r="U117" i="21"/>
  <c r="T117" i="21"/>
  <c r="Y13" i="21"/>
  <c r="X13" i="21"/>
  <c r="W13" i="21"/>
  <c r="T13" i="21"/>
  <c r="U13" i="21" s="1"/>
  <c r="D584" i="26" l="1"/>
  <c r="D584" i="27" s="1"/>
  <c r="D516" i="26"/>
  <c r="D516" i="27" s="1"/>
  <c r="D505" i="26"/>
  <c r="D505" i="27" s="1"/>
  <c r="D441" i="26"/>
  <c r="D426" i="26"/>
  <c r="D426" i="27" s="1"/>
  <c r="D404" i="26"/>
  <c r="D404" i="27" s="1"/>
  <c r="D399" i="26"/>
  <c r="D399" i="27" s="1"/>
  <c r="D363" i="26"/>
  <c r="D363" i="27" s="1"/>
  <c r="D312" i="26"/>
  <c r="D312" i="27" s="1"/>
  <c r="D440" i="26" l="1"/>
  <c r="D440" i="27" s="1"/>
  <c r="D441" i="27"/>
  <c r="D336" i="26"/>
  <c r="D336" i="27" s="1"/>
  <c r="D349" i="26"/>
  <c r="D349" i="27" s="1"/>
  <c r="D380" i="26"/>
  <c r="D380" i="27" s="1"/>
  <c r="D171" i="26"/>
  <c r="D171" i="27" s="1"/>
  <c r="D319" i="26"/>
  <c r="D417" i="26"/>
  <c r="D417" i="27" s="1"/>
  <c r="D101" i="26"/>
  <c r="D211" i="26"/>
  <c r="D211" i="27" s="1"/>
  <c r="D323" i="26"/>
  <c r="D323" i="27" s="1"/>
  <c r="D422" i="26"/>
  <c r="D433" i="26"/>
  <c r="D445" i="26"/>
  <c r="D445" i="27" s="1"/>
  <c r="D475" i="26"/>
  <c r="D475" i="27" s="1"/>
  <c r="D482" i="26"/>
  <c r="D482" i="27" s="1"/>
  <c r="D495" i="26"/>
  <c r="D495" i="27" s="1"/>
  <c r="D550" i="26"/>
  <c r="D550" i="27" s="1"/>
  <c r="D132" i="26"/>
  <c r="D132" i="27" s="1"/>
  <c r="D143" i="26"/>
  <c r="D143" i="27" s="1"/>
  <c r="D167" i="26"/>
  <c r="D107" i="26"/>
  <c r="D107" i="27" s="1"/>
  <c r="D137" i="26"/>
  <c r="D175" i="26"/>
  <c r="D175" i="27" s="1"/>
  <c r="D223" i="26"/>
  <c r="D240" i="26"/>
  <c r="D240" i="27" s="1"/>
  <c r="D260" i="26"/>
  <c r="D260" i="27" s="1"/>
  <c r="D279" i="26"/>
  <c r="D279" i="27" s="1"/>
  <c r="D301" i="26"/>
  <c r="D301" i="27" s="1"/>
  <c r="D567" i="26"/>
  <c r="D555" i="26"/>
  <c r="D46" i="26"/>
  <c r="D46" i="27" s="1"/>
  <c r="D127" i="26"/>
  <c r="D127" i="27" s="1"/>
  <c r="D266" i="26"/>
  <c r="D266" i="27" s="1"/>
  <c r="D285" i="26"/>
  <c r="D466" i="26"/>
  <c r="D466" i="27" s="1"/>
  <c r="D525" i="26"/>
  <c r="D535" i="26"/>
  <c r="D579" i="26"/>
  <c r="D52" i="26"/>
  <c r="D52" i="27" s="1"/>
  <c r="D147" i="26"/>
  <c r="D147" i="27" s="1"/>
  <c r="D193" i="26"/>
  <c r="D193" i="27" s="1"/>
  <c r="D370" i="26"/>
  <c r="D370" i="27" s="1"/>
  <c r="D395" i="26"/>
  <c r="D395" i="27" s="1"/>
  <c r="D413" i="26"/>
  <c r="D413" i="27" s="1"/>
  <c r="D449" i="26"/>
  <c r="D449" i="27" s="1"/>
  <c r="D61" i="26"/>
  <c r="D61" i="27" s="1"/>
  <c r="D58" i="26"/>
  <c r="D58" i="27" s="1"/>
  <c r="D114" i="26"/>
  <c r="D114" i="27" s="1"/>
  <c r="D124" i="26"/>
  <c r="D124" i="27" s="1"/>
  <c r="D155" i="26"/>
  <c r="D155" i="27" s="1"/>
  <c r="D234" i="26"/>
  <c r="D234" i="27" s="1"/>
  <c r="D254" i="26"/>
  <c r="D273" i="26"/>
  <c r="D273" i="27" s="1"/>
  <c r="D293" i="26"/>
  <c r="D293" i="27" s="1"/>
  <c r="D346" i="26"/>
  <c r="D346" i="27" s="1"/>
  <c r="D356" i="26"/>
  <c r="D367" i="26"/>
  <c r="D367" i="27" s="1"/>
  <c r="D383" i="26"/>
  <c r="D383" i="27" s="1"/>
  <c r="D391" i="26"/>
  <c r="D391" i="27" s="1"/>
  <c r="D408" i="26"/>
  <c r="D458" i="26"/>
  <c r="D499" i="26"/>
  <c r="D499" i="27" s="1"/>
  <c r="D509" i="26"/>
  <c r="D509" i="27" s="1"/>
  <c r="D438" i="26"/>
  <c r="D438" i="27" s="1"/>
  <c r="D245" i="26"/>
  <c r="D245" i="27" s="1"/>
  <c r="D204" i="26"/>
  <c r="D184" i="26"/>
  <c r="D184" i="27" s="1"/>
  <c r="D69" i="26"/>
  <c r="D69" i="27" s="1"/>
  <c r="D43" i="26"/>
  <c r="D43" i="27" s="1"/>
  <c r="D38" i="26"/>
  <c r="D38" i="27" s="1"/>
  <c r="D32" i="26"/>
  <c r="D215" i="26" l="1"/>
  <c r="D215" i="27" s="1"/>
  <c r="D223" i="27"/>
  <c r="D29" i="26"/>
  <c r="D32" i="27"/>
  <c r="D588" i="26"/>
  <c r="D588" i="27" s="1"/>
  <c r="D579" i="27"/>
  <c r="D553" i="26"/>
  <c r="D553" i="27" s="1"/>
  <c r="D555" i="27"/>
  <c r="D136" i="26"/>
  <c r="D136" i="27" s="1"/>
  <c r="D137" i="27"/>
  <c r="D309" i="26"/>
  <c r="D309" i="27" s="1"/>
  <c r="D319" i="27"/>
  <c r="D448" i="26"/>
  <c r="D448" i="27" s="1"/>
  <c r="D458" i="27"/>
  <c r="D533" i="26"/>
  <c r="D533" i="27" s="1"/>
  <c r="D535" i="27"/>
  <c r="D564" i="26"/>
  <c r="D564" i="27" s="1"/>
  <c r="D567" i="27"/>
  <c r="D403" i="26"/>
  <c r="D403" i="27" s="1"/>
  <c r="D408" i="27"/>
  <c r="D250" i="26"/>
  <c r="D250" i="27" s="1"/>
  <c r="D254" i="27"/>
  <c r="D522" i="26"/>
  <c r="D522" i="27" s="1"/>
  <c r="D525" i="27"/>
  <c r="D163" i="26"/>
  <c r="D163" i="27" s="1"/>
  <c r="D167" i="27"/>
  <c r="D430" i="26"/>
  <c r="D430" i="27" s="1"/>
  <c r="D433" i="27"/>
  <c r="D284" i="26"/>
  <c r="D284" i="27" s="1"/>
  <c r="D285" i="27"/>
  <c r="D421" i="26"/>
  <c r="D421" i="27" s="1"/>
  <c r="D422" i="27"/>
  <c r="D203" i="26"/>
  <c r="D203" i="27" s="1"/>
  <c r="D204" i="27"/>
  <c r="D353" i="26"/>
  <c r="D353" i="27" s="1"/>
  <c r="D356" i="27"/>
  <c r="D86" i="26"/>
  <c r="D86" i="27" s="1"/>
  <c r="D101" i="27"/>
  <c r="D390" i="26"/>
  <c r="D378" i="26"/>
  <c r="D378" i="27" s="1"/>
  <c r="D333" i="26"/>
  <c r="D68" i="26"/>
  <c r="D465" i="26"/>
  <c r="D465" i="27" s="1"/>
  <c r="D412" i="26"/>
  <c r="D412" i="27" s="1"/>
  <c r="D512" i="26"/>
  <c r="D512" i="27" s="1"/>
  <c r="D162" i="26"/>
  <c r="D122" i="26"/>
  <c r="D122" i="27" s="1"/>
  <c r="D37" i="26"/>
  <c r="D202" i="26"/>
  <c r="D202" i="27" s="1"/>
  <c r="D161" i="26" l="1"/>
  <c r="D161" i="27" s="1"/>
  <c r="D162" i="27"/>
  <c r="D389" i="26"/>
  <c r="D389" i="27" s="1"/>
  <c r="D390" i="27"/>
  <c r="D520" i="26"/>
  <c r="D549" i="26"/>
  <c r="D28" i="26"/>
  <c r="D28" i="27" s="1"/>
  <c r="D29" i="27"/>
  <c r="D27" i="26"/>
  <c r="D27" i="27" s="1"/>
  <c r="D37" i="27"/>
  <c r="D67" i="26"/>
  <c r="D67" i="27" s="1"/>
  <c r="D68" i="27"/>
  <c r="D332" i="26"/>
  <c r="D332" i="27" s="1"/>
  <c r="D333" i="27"/>
  <c r="D201" i="26"/>
  <c r="D201" i="27" s="1"/>
  <c r="D159" i="26" l="1"/>
  <c r="D159" i="27" s="1"/>
  <c r="D388" i="26"/>
  <c r="D388" i="27" s="1"/>
  <c r="D546" i="26"/>
  <c r="D549" i="27"/>
  <c r="D518" i="26"/>
  <c r="D520" i="27"/>
  <c r="X1048" i="21"/>
  <c r="Y1048" i="21" s="1"/>
  <c r="W1048" i="21"/>
  <c r="T1048" i="21"/>
  <c r="U1048" i="21" s="1"/>
  <c r="S1093" i="21"/>
  <c r="R1093" i="21"/>
  <c r="Q1093" i="21"/>
  <c r="P1093" i="21"/>
  <c r="O1093" i="21"/>
  <c r="S1092" i="21"/>
  <c r="R1092" i="21"/>
  <c r="Q1092" i="21"/>
  <c r="P1092" i="21"/>
  <c r="O1092" i="21"/>
  <c r="N1093" i="21"/>
  <c r="N1092" i="21"/>
  <c r="D544" i="26" l="1"/>
  <c r="D544" i="27" s="1"/>
  <c r="D546" i="27"/>
  <c r="D493" i="26"/>
  <c r="D518" i="27"/>
  <c r="Q1094" i="21"/>
  <c r="O1094" i="21"/>
  <c r="R1094" i="21"/>
  <c r="P1094" i="21"/>
  <c r="S1094" i="21"/>
  <c r="D38" i="24"/>
  <c r="C38" i="24"/>
  <c r="B38" i="24"/>
  <c r="D576" i="26" l="1"/>
  <c r="D576" i="27" s="1"/>
  <c r="D577" i="26"/>
  <c r="D493" i="27"/>
  <c r="X1086" i="21"/>
  <c r="Y1086" i="21" s="1"/>
  <c r="Y1085" i="21"/>
  <c r="X1085" i="21"/>
  <c r="X1084" i="21"/>
  <c r="Y1084" i="21" s="1"/>
  <c r="Y1083" i="21"/>
  <c r="X1083" i="21"/>
  <c r="X1082" i="21"/>
  <c r="Y1082" i="21" s="1"/>
  <c r="Y1081" i="21"/>
  <c r="X1081" i="21"/>
  <c r="Y1080" i="21"/>
  <c r="X1080" i="21"/>
  <c r="Y1079" i="21"/>
  <c r="X1079" i="21"/>
  <c r="X1078" i="21"/>
  <c r="Y1078" i="21" s="1"/>
  <c r="X1077" i="21"/>
  <c r="Y1077" i="21" s="1"/>
  <c r="Y1076" i="21"/>
  <c r="X1076" i="21"/>
  <c r="Y1075" i="21"/>
  <c r="X1075" i="21"/>
  <c r="Y1074" i="21"/>
  <c r="X1074" i="21"/>
  <c r="Y1073" i="21"/>
  <c r="X1073" i="21"/>
  <c r="Y1072" i="21"/>
  <c r="X1072" i="21"/>
  <c r="X1071" i="21"/>
  <c r="Y1071" i="21" s="1"/>
  <c r="X1070" i="21"/>
  <c r="Y1070" i="21" s="1"/>
  <c r="X1069" i="21"/>
  <c r="Y1069" i="21" s="1"/>
  <c r="Y1068" i="21"/>
  <c r="X1068" i="21"/>
  <c r="Y1067" i="21"/>
  <c r="X1067" i="21"/>
  <c r="Y1066" i="21"/>
  <c r="X1066" i="21"/>
  <c r="Y1065" i="21"/>
  <c r="X1065" i="21"/>
  <c r="Y1064" i="21"/>
  <c r="X1064" i="21"/>
  <c r="Y1063" i="21"/>
  <c r="X1063" i="21"/>
  <c r="Y1062" i="21"/>
  <c r="X1062" i="21"/>
  <c r="Y1061" i="21"/>
  <c r="X1061" i="21"/>
  <c r="Y1060" i="21"/>
  <c r="X1060" i="21"/>
  <c r="Y1059" i="21"/>
  <c r="X1059" i="21"/>
  <c r="Y1058" i="21"/>
  <c r="X1058" i="21"/>
  <c r="Y1057" i="21"/>
  <c r="X1057" i="21"/>
  <c r="Y1056" i="21"/>
  <c r="X1056" i="21"/>
  <c r="Y1055" i="21"/>
  <c r="X1055" i="21"/>
  <c r="Y1054" i="21"/>
  <c r="X1054" i="21"/>
  <c r="Y1053" i="21"/>
  <c r="X1053" i="21"/>
  <c r="Y1052" i="21"/>
  <c r="X1052" i="21"/>
  <c r="X1051" i="21"/>
  <c r="Y1051" i="21" s="1"/>
  <c r="Y1050" i="21"/>
  <c r="X1050" i="21"/>
  <c r="X1049" i="21"/>
  <c r="Y1049" i="21" s="1"/>
  <c r="X1047" i="21"/>
  <c r="Y1047" i="21" s="1"/>
  <c r="Y1046" i="21"/>
  <c r="X1046" i="21"/>
  <c r="Y1045" i="21"/>
  <c r="X1045" i="21"/>
  <c r="X1044" i="21"/>
  <c r="Y1044" i="21" s="1"/>
  <c r="Y1043" i="21"/>
  <c r="X1043" i="21"/>
  <c r="Y1042" i="21"/>
  <c r="X1042" i="21"/>
  <c r="Y1041" i="21"/>
  <c r="X1041" i="21"/>
  <c r="X1040" i="21"/>
  <c r="Y1040" i="21" s="1"/>
  <c r="X1039" i="21"/>
  <c r="Y1039" i="21" s="1"/>
  <c r="X1038" i="21"/>
  <c r="Y1038" i="21" s="1"/>
  <c r="X1037" i="21"/>
  <c r="Y1037" i="21" s="1"/>
  <c r="X1036" i="21"/>
  <c r="Y1036" i="21" s="1"/>
  <c r="X1035" i="21"/>
  <c r="Y1035" i="21" s="1"/>
  <c r="X1034" i="21"/>
  <c r="Y1034" i="21" s="1"/>
  <c r="X1033" i="21"/>
  <c r="Y1033" i="21" s="1"/>
  <c r="Y1032" i="21"/>
  <c r="X1032" i="21"/>
  <c r="Y1031" i="21"/>
  <c r="X1031" i="21"/>
  <c r="Y1030" i="21"/>
  <c r="X1030" i="21"/>
  <c r="Y1027" i="21"/>
  <c r="X1027" i="21"/>
  <c r="X1026" i="21"/>
  <c r="Y1026" i="21" s="1"/>
  <c r="Y1025" i="21"/>
  <c r="X1025" i="21"/>
  <c r="Y1024" i="21"/>
  <c r="X1024" i="21"/>
  <c r="Y1023" i="21"/>
  <c r="X1023" i="21"/>
  <c r="Y1022" i="21"/>
  <c r="X1022" i="21"/>
  <c r="Y1021" i="21"/>
  <c r="X1021" i="21"/>
  <c r="Y1020" i="21"/>
  <c r="X1020" i="21"/>
  <c r="Y1019" i="21"/>
  <c r="X1019" i="21"/>
  <c r="X1018" i="21"/>
  <c r="Y1018" i="21" s="1"/>
  <c r="Y1017" i="21"/>
  <c r="X1017" i="21"/>
  <c r="X1016" i="21"/>
  <c r="Y1016" i="21" s="1"/>
  <c r="Y1015" i="21"/>
  <c r="X1015" i="21"/>
  <c r="X1014" i="21"/>
  <c r="Y1014" i="21" s="1"/>
  <c r="X1013" i="21"/>
  <c r="Y1013" i="21" s="1"/>
  <c r="Y1012" i="21"/>
  <c r="X1012" i="21"/>
  <c r="Y1011" i="21"/>
  <c r="X1011" i="21"/>
  <c r="Y1010" i="21"/>
  <c r="X1010" i="21"/>
  <c r="X1009" i="21"/>
  <c r="Y1009" i="21" s="1"/>
  <c r="Y1008" i="21"/>
  <c r="X1008" i="21"/>
  <c r="Y1007" i="21"/>
  <c r="X1007" i="21"/>
  <c r="X1006" i="21"/>
  <c r="Y1006" i="21" s="1"/>
  <c r="Y1005" i="21"/>
  <c r="X1005" i="21"/>
  <c r="X1004" i="21"/>
  <c r="Y1004" i="21" s="1"/>
  <c r="Y1003" i="21"/>
  <c r="X1003" i="21"/>
  <c r="X1002" i="21"/>
  <c r="Y1002" i="21" s="1"/>
  <c r="Y1001" i="21"/>
  <c r="X1001" i="21"/>
  <c r="X1000" i="21"/>
  <c r="Y1000" i="21" s="1"/>
  <c r="Y999" i="21"/>
  <c r="X999" i="21"/>
  <c r="Y998" i="21"/>
  <c r="X998" i="21"/>
  <c r="Y997" i="21"/>
  <c r="X997" i="21"/>
  <c r="Y996" i="21"/>
  <c r="X996" i="21"/>
  <c r="Y995" i="21"/>
  <c r="X995" i="21"/>
  <c r="Y994" i="21"/>
  <c r="X994" i="21"/>
  <c r="Y992" i="21"/>
  <c r="X992" i="21"/>
  <c r="Y991" i="21"/>
  <c r="X991" i="21"/>
  <c r="Y990" i="21"/>
  <c r="X990" i="21"/>
  <c r="X989" i="21"/>
  <c r="Y989" i="21" s="1"/>
  <c r="Y988" i="21"/>
  <c r="X988" i="21"/>
  <c r="X987" i="21"/>
  <c r="Y987" i="21" s="1"/>
  <c r="Y986" i="21"/>
  <c r="X986" i="21"/>
  <c r="X985" i="21"/>
  <c r="Y985" i="21" s="1"/>
  <c r="X984" i="21"/>
  <c r="Y984" i="21" s="1"/>
  <c r="X983" i="21"/>
  <c r="Y983" i="21" s="1"/>
  <c r="X982" i="21"/>
  <c r="Y982" i="21" s="1"/>
  <c r="X981" i="21"/>
  <c r="Y981" i="21" s="1"/>
  <c r="X980" i="21"/>
  <c r="Y980" i="21" s="1"/>
  <c r="X979" i="21"/>
  <c r="Y979" i="21" s="1"/>
  <c r="X978" i="21"/>
  <c r="Y978" i="21" s="1"/>
  <c r="X977" i="21"/>
  <c r="Y977" i="21" s="1"/>
  <c r="X976" i="21"/>
  <c r="Y976" i="21" s="1"/>
  <c r="X975" i="21"/>
  <c r="Y975" i="21" s="1"/>
  <c r="Y974" i="21"/>
  <c r="X974" i="21"/>
  <c r="X973" i="21"/>
  <c r="Y973" i="21" s="1"/>
  <c r="Y972" i="21"/>
  <c r="X972" i="21"/>
  <c r="Y971" i="21"/>
  <c r="X971" i="21"/>
  <c r="X970" i="21"/>
  <c r="Y970" i="21" s="1"/>
  <c r="X969" i="21"/>
  <c r="Y969" i="21" s="1"/>
  <c r="X968" i="21"/>
  <c r="Y968" i="21" s="1"/>
  <c r="Y967" i="21"/>
  <c r="X967" i="21"/>
  <c r="Y966" i="21"/>
  <c r="X966" i="21"/>
  <c r="X965" i="21"/>
  <c r="Y965" i="21" s="1"/>
  <c r="Y964" i="21"/>
  <c r="X964" i="21"/>
  <c r="X963" i="21"/>
  <c r="Y963" i="21" s="1"/>
  <c r="Y962" i="21"/>
  <c r="X962" i="21"/>
  <c r="X961" i="21"/>
  <c r="Y961" i="21" s="1"/>
  <c r="X960" i="21"/>
  <c r="Y960" i="21" s="1"/>
  <c r="Y959" i="21"/>
  <c r="X959" i="21"/>
  <c r="X958" i="21"/>
  <c r="Y958" i="21" s="1"/>
  <c r="X957" i="21"/>
  <c r="Y957" i="21" s="1"/>
  <c r="X956" i="21"/>
  <c r="Y956" i="21" s="1"/>
  <c r="Y955" i="21"/>
  <c r="X955" i="21"/>
  <c r="Y954" i="21"/>
  <c r="X954" i="21"/>
  <c r="X953" i="21"/>
  <c r="Y953" i="21" s="1"/>
  <c r="X952" i="21"/>
  <c r="Y952" i="21" s="1"/>
  <c r="Y951" i="21"/>
  <c r="X951" i="21"/>
  <c r="X950" i="21"/>
  <c r="Y950" i="21" s="1"/>
  <c r="Y949" i="21"/>
  <c r="X949" i="21"/>
  <c r="X948" i="21"/>
  <c r="Y948" i="21" s="1"/>
  <c r="X947" i="21"/>
  <c r="Y947" i="21" s="1"/>
  <c r="X946" i="21"/>
  <c r="Y946" i="21" s="1"/>
  <c r="X945" i="21"/>
  <c r="Y945" i="21" s="1"/>
  <c r="X944" i="21"/>
  <c r="Y944" i="21" s="1"/>
  <c r="X943" i="21"/>
  <c r="Y943" i="21" s="1"/>
  <c r="Y942" i="21"/>
  <c r="X942" i="21"/>
  <c r="X941" i="21"/>
  <c r="Y941" i="21" s="1"/>
  <c r="Y940" i="21"/>
  <c r="X940" i="21"/>
  <c r="Y939" i="21"/>
  <c r="X939" i="21"/>
  <c r="Y938" i="21"/>
  <c r="X938" i="21"/>
  <c r="Y937" i="21"/>
  <c r="X937" i="21"/>
  <c r="X936" i="21"/>
  <c r="Y936" i="21" s="1"/>
  <c r="Y935" i="21"/>
  <c r="X935" i="21"/>
  <c r="Y934" i="21"/>
  <c r="X934" i="21"/>
  <c r="Y933" i="21"/>
  <c r="X933" i="21"/>
  <c r="Y930" i="21"/>
  <c r="X930" i="21"/>
  <c r="Y929" i="21"/>
  <c r="X929" i="21"/>
  <c r="Y928" i="21"/>
  <c r="X928" i="21"/>
  <c r="Y925" i="21"/>
  <c r="X925" i="21"/>
  <c r="X924" i="21"/>
  <c r="Y924" i="21" s="1"/>
  <c r="Y923" i="21"/>
  <c r="X923" i="21"/>
  <c r="X920" i="21"/>
  <c r="Y920" i="21" s="1"/>
  <c r="X919" i="21"/>
  <c r="Y919" i="21" s="1"/>
  <c r="Y918" i="21"/>
  <c r="X918" i="21"/>
  <c r="X917" i="21"/>
  <c r="Y917" i="21" s="1"/>
  <c r="X916" i="21"/>
  <c r="Y916" i="21" s="1"/>
  <c r="X915" i="21"/>
  <c r="Y915" i="21" s="1"/>
  <c r="X914" i="21"/>
  <c r="Y914" i="21" s="1"/>
  <c r="X913" i="21"/>
  <c r="Y913" i="21" s="1"/>
  <c r="X912" i="21"/>
  <c r="Y912" i="21" s="1"/>
  <c r="X911" i="21"/>
  <c r="Y911" i="21" s="1"/>
  <c r="Y910" i="21"/>
  <c r="X910" i="21"/>
  <c r="Y909" i="21"/>
  <c r="X909" i="21"/>
  <c r="X908" i="21"/>
  <c r="Y908" i="21" s="1"/>
  <c r="Y907" i="21"/>
  <c r="X907" i="21"/>
  <c r="X906" i="21"/>
  <c r="Y906" i="21" s="1"/>
  <c r="Y905" i="21"/>
  <c r="X905" i="21"/>
  <c r="X904" i="21"/>
  <c r="Y904" i="21" s="1"/>
  <c r="X903" i="21"/>
  <c r="Y903" i="21" s="1"/>
  <c r="Y902" i="21"/>
  <c r="X902" i="21"/>
  <c r="Y901" i="21"/>
  <c r="X901" i="21"/>
  <c r="Y900" i="21"/>
  <c r="X900" i="21"/>
  <c r="Y899" i="21"/>
  <c r="X899" i="21"/>
  <c r="Y898" i="21"/>
  <c r="X898" i="21"/>
  <c r="Y897" i="21"/>
  <c r="X897" i="21"/>
  <c r="Y896" i="21"/>
  <c r="X896" i="21"/>
  <c r="Y894" i="21"/>
  <c r="X894" i="21"/>
  <c r="Y893" i="21"/>
  <c r="X893" i="21"/>
  <c r="Y892" i="21"/>
  <c r="X892" i="21"/>
  <c r="Y891" i="21"/>
  <c r="X891" i="21"/>
  <c r="Y890" i="21"/>
  <c r="X890" i="21"/>
  <c r="X889" i="21"/>
  <c r="Y889" i="21" s="1"/>
  <c r="Y888" i="21"/>
  <c r="X888" i="21"/>
  <c r="Y887" i="21"/>
  <c r="X887" i="21"/>
  <c r="X886" i="21"/>
  <c r="Y886" i="21" s="1"/>
  <c r="Y885" i="21"/>
  <c r="X885" i="21"/>
  <c r="Y884" i="21"/>
  <c r="X884" i="21"/>
  <c r="Y882" i="21"/>
  <c r="X882" i="21"/>
  <c r="Y881" i="21"/>
  <c r="X881" i="21"/>
  <c r="Y880" i="21"/>
  <c r="X880" i="21"/>
  <c r="Y879" i="21"/>
  <c r="X879" i="21"/>
  <c r="Y878" i="21"/>
  <c r="X878" i="21"/>
  <c r="X877" i="21"/>
  <c r="Y877" i="21" s="1"/>
  <c r="Y876" i="21"/>
  <c r="X876" i="21"/>
  <c r="X875" i="21"/>
  <c r="Y875" i="21" s="1"/>
  <c r="Y874" i="21"/>
  <c r="X874" i="21"/>
  <c r="X873" i="21"/>
  <c r="Y873" i="21" s="1"/>
  <c r="X872" i="21"/>
  <c r="Y872" i="21" s="1"/>
  <c r="X871" i="21"/>
  <c r="Y871" i="21" s="1"/>
  <c r="X870" i="21"/>
  <c r="Y870" i="21" s="1"/>
  <c r="Y869" i="21"/>
  <c r="X869" i="21"/>
  <c r="Y868" i="21"/>
  <c r="X868" i="21"/>
  <c r="X867" i="21"/>
  <c r="Y867" i="21" s="1"/>
  <c r="Y866" i="21"/>
  <c r="X866" i="21"/>
  <c r="Y865" i="21"/>
  <c r="X865" i="21"/>
  <c r="X864" i="21"/>
  <c r="Y864" i="21" s="1"/>
  <c r="Y863" i="21"/>
  <c r="X863" i="21"/>
  <c r="Y862" i="21"/>
  <c r="X862" i="21"/>
  <c r="X858" i="21"/>
  <c r="Y858" i="21" s="1"/>
  <c r="Y857" i="21"/>
  <c r="X857" i="21"/>
  <c r="Y856" i="21"/>
  <c r="X856" i="21"/>
  <c r="Y855" i="21"/>
  <c r="X855" i="21"/>
  <c r="Y854" i="21"/>
  <c r="X854" i="21"/>
  <c r="Y853" i="21"/>
  <c r="X853" i="21"/>
  <c r="Y846" i="21"/>
  <c r="X846" i="21"/>
  <c r="Y837" i="21"/>
  <c r="X837" i="21"/>
  <c r="Y836" i="21"/>
  <c r="X836" i="21"/>
  <c r="Y835" i="21"/>
  <c r="X835" i="21"/>
  <c r="X834" i="21"/>
  <c r="Y834" i="21" s="1"/>
  <c r="Y833" i="21"/>
  <c r="X833" i="21"/>
  <c r="Y832" i="21"/>
  <c r="X832" i="21"/>
  <c r="X831" i="21"/>
  <c r="Y831" i="21" s="1"/>
  <c r="Y830" i="21"/>
  <c r="X830" i="21"/>
  <c r="Y829" i="21"/>
  <c r="X829" i="21"/>
  <c r="Y828" i="21"/>
  <c r="X828" i="21"/>
  <c r="X827" i="21"/>
  <c r="Y827" i="21" s="1"/>
  <c r="Y826" i="21"/>
  <c r="X826" i="21"/>
  <c r="X825" i="21"/>
  <c r="Y825" i="21" s="1"/>
  <c r="Y824" i="21"/>
  <c r="X824" i="21"/>
  <c r="X823" i="21"/>
  <c r="Y823" i="21" s="1"/>
  <c r="Y822" i="21"/>
  <c r="X822" i="21"/>
  <c r="Y821" i="21"/>
  <c r="X821" i="21"/>
  <c r="Y820" i="21"/>
  <c r="X820" i="21"/>
  <c r="Y819" i="21"/>
  <c r="X819" i="21"/>
  <c r="Y818" i="21"/>
  <c r="X818" i="21"/>
  <c r="Y817" i="21"/>
  <c r="X817" i="21"/>
  <c r="X816" i="21"/>
  <c r="Y816" i="21" s="1"/>
  <c r="Y815" i="21"/>
  <c r="X815" i="21"/>
  <c r="X814" i="21"/>
  <c r="Y814" i="21" s="1"/>
  <c r="X813" i="21"/>
  <c r="Y813" i="21" s="1"/>
  <c r="Y812" i="21"/>
  <c r="X812" i="21"/>
  <c r="X811" i="21"/>
  <c r="Y811" i="21" s="1"/>
  <c r="Y810" i="21"/>
  <c r="X810" i="21"/>
  <c r="Y809" i="21"/>
  <c r="X809" i="21"/>
  <c r="Y808" i="21"/>
  <c r="X808" i="21"/>
  <c r="Y807" i="21"/>
  <c r="X807" i="21"/>
  <c r="Y806" i="21"/>
  <c r="X806" i="21"/>
  <c r="Y805" i="21"/>
  <c r="X805" i="21"/>
  <c r="Y804" i="21"/>
  <c r="X804" i="21"/>
  <c r="X803" i="21"/>
  <c r="Y803" i="21" s="1"/>
  <c r="Y802" i="21"/>
  <c r="X802" i="21"/>
  <c r="Y801" i="21"/>
  <c r="X801" i="21"/>
  <c r="Y800" i="21"/>
  <c r="X800" i="21"/>
  <c r="Y799" i="21"/>
  <c r="X799" i="21"/>
  <c r="Y798" i="21"/>
  <c r="X798" i="21"/>
  <c r="Y797" i="21"/>
  <c r="X797" i="21"/>
  <c r="Y796" i="21"/>
  <c r="X796" i="21"/>
  <c r="Y795" i="21"/>
  <c r="X795" i="21"/>
  <c r="Y794" i="21"/>
  <c r="X794" i="21"/>
  <c r="Y793" i="21"/>
  <c r="X793" i="21"/>
  <c r="Y792" i="21"/>
  <c r="X792" i="21"/>
  <c r="Y791" i="21"/>
  <c r="X791" i="21"/>
  <c r="Y790" i="21"/>
  <c r="X790" i="21"/>
  <c r="Y789" i="21"/>
  <c r="X789" i="21"/>
  <c r="X788" i="21"/>
  <c r="Y788" i="21" s="1"/>
  <c r="Y787" i="21"/>
  <c r="X787" i="21"/>
  <c r="Y786" i="21"/>
  <c r="X786" i="21"/>
  <c r="Y785" i="21"/>
  <c r="X785" i="21"/>
  <c r="Y784" i="21"/>
  <c r="X784" i="21"/>
  <c r="Y783" i="21"/>
  <c r="X783" i="21"/>
  <c r="Y782" i="21"/>
  <c r="X782" i="21"/>
  <c r="Y780" i="21"/>
  <c r="X780" i="21"/>
  <c r="Y779" i="21"/>
  <c r="X779" i="21"/>
  <c r="X778" i="21"/>
  <c r="Y778" i="21" s="1"/>
  <c r="X777" i="21"/>
  <c r="Y777" i="21" s="1"/>
  <c r="X776" i="21"/>
  <c r="Y776" i="21" s="1"/>
  <c r="X775" i="21"/>
  <c r="Y775" i="21" s="1"/>
  <c r="X774" i="21"/>
  <c r="Y774" i="21" s="1"/>
  <c r="X773" i="21"/>
  <c r="Y773" i="21" s="1"/>
  <c r="X772" i="21"/>
  <c r="Y772" i="21" s="1"/>
  <c r="X771" i="21"/>
  <c r="Y771" i="21" s="1"/>
  <c r="X770" i="21"/>
  <c r="Y770" i="21" s="1"/>
  <c r="X769" i="21"/>
  <c r="Y769" i="21" s="1"/>
  <c r="Y768" i="21"/>
  <c r="X768" i="21"/>
  <c r="Y767" i="21"/>
  <c r="X767" i="21"/>
  <c r="X766" i="21"/>
  <c r="Y766" i="21" s="1"/>
  <c r="Y765" i="21"/>
  <c r="X765" i="21"/>
  <c r="X764" i="21"/>
  <c r="Y764" i="21" s="1"/>
  <c r="Y763" i="21"/>
  <c r="X763" i="21"/>
  <c r="X762" i="21"/>
  <c r="Y762" i="21" s="1"/>
  <c r="Y761" i="21"/>
  <c r="X761" i="21"/>
  <c r="Y760" i="21"/>
  <c r="X760" i="21"/>
  <c r="Y759" i="21"/>
  <c r="X759" i="21"/>
  <c r="Y758" i="21"/>
  <c r="X758" i="21"/>
  <c r="Y757" i="21"/>
  <c r="X757" i="21"/>
  <c r="X756" i="21"/>
  <c r="Y756" i="21" s="1"/>
  <c r="Y755" i="21"/>
  <c r="X755" i="21"/>
  <c r="Y754" i="21"/>
  <c r="X754" i="21"/>
  <c r="Y753" i="21"/>
  <c r="X753" i="21"/>
  <c r="Y751" i="21"/>
  <c r="X751" i="21"/>
  <c r="Y750" i="21"/>
  <c r="X750" i="21"/>
  <c r="Y748" i="21"/>
  <c r="X748" i="21"/>
  <c r="Y747" i="21"/>
  <c r="X747" i="21"/>
  <c r="Y746" i="21"/>
  <c r="X746" i="21"/>
  <c r="Y745" i="21"/>
  <c r="X745" i="21"/>
  <c r="Y743" i="21"/>
  <c r="X743" i="21"/>
  <c r="Y741" i="21"/>
  <c r="X741" i="21"/>
  <c r="Y740" i="21"/>
  <c r="X740" i="21"/>
  <c r="Y738" i="21"/>
  <c r="X738" i="21"/>
  <c r="X737" i="21"/>
  <c r="Y737" i="21" s="1"/>
  <c r="X736" i="21"/>
  <c r="Y736" i="21" s="1"/>
  <c r="X735" i="21"/>
  <c r="Y735" i="21" s="1"/>
  <c r="Y734" i="21"/>
  <c r="X734" i="21"/>
  <c r="Y733" i="21"/>
  <c r="X733" i="21"/>
  <c r="Y732" i="21"/>
  <c r="X732" i="21"/>
  <c r="X729" i="21"/>
  <c r="Y729" i="21" s="1"/>
  <c r="Y728" i="21"/>
  <c r="X728" i="21"/>
  <c r="Y727" i="21"/>
  <c r="X727" i="21"/>
  <c r="Y726" i="21"/>
  <c r="X726" i="21"/>
  <c r="Y725" i="21"/>
  <c r="X725" i="21"/>
  <c r="Y724" i="21"/>
  <c r="X724" i="21"/>
  <c r="Y723" i="21"/>
  <c r="X723" i="21"/>
  <c r="Y722" i="21"/>
  <c r="X722" i="21"/>
  <c r="Y721" i="21"/>
  <c r="X721" i="21"/>
  <c r="Y720" i="21"/>
  <c r="X720" i="21"/>
  <c r="Y719" i="21"/>
  <c r="X719" i="21"/>
  <c r="Y718" i="21"/>
  <c r="X718" i="21"/>
  <c r="Y717" i="21"/>
  <c r="X717" i="21"/>
  <c r="Y716" i="21"/>
  <c r="X716" i="21"/>
  <c r="Y715" i="21"/>
  <c r="X715" i="21"/>
  <c r="Y714" i="21"/>
  <c r="X714" i="21"/>
  <c r="Y713" i="21"/>
  <c r="X713" i="21"/>
  <c r="Y712" i="21"/>
  <c r="X712" i="21"/>
  <c r="Y711" i="21"/>
  <c r="X711" i="21"/>
  <c r="Y710" i="21"/>
  <c r="X710" i="21"/>
  <c r="X709" i="21"/>
  <c r="Y709" i="21" s="1"/>
  <c r="Y708" i="21"/>
  <c r="X708" i="21"/>
  <c r="X701" i="21"/>
  <c r="Y701" i="21" s="1"/>
  <c r="X692" i="21"/>
  <c r="Y692" i="21" s="1"/>
  <c r="Y691" i="21"/>
  <c r="X691" i="21"/>
  <c r="Y690" i="21"/>
  <c r="X690" i="21"/>
  <c r="Y689" i="21"/>
  <c r="X689" i="21"/>
  <c r="Y688" i="21"/>
  <c r="X688" i="21"/>
  <c r="Y687" i="21"/>
  <c r="X687" i="21"/>
  <c r="Y686" i="21"/>
  <c r="X686" i="21"/>
  <c r="Y685" i="21"/>
  <c r="X685" i="21"/>
  <c r="X684" i="21"/>
  <c r="Y684" i="21" s="1"/>
  <c r="Y683" i="21"/>
  <c r="X683" i="21"/>
  <c r="X682" i="21"/>
  <c r="Y682" i="21" s="1"/>
  <c r="Y681" i="21"/>
  <c r="X681" i="21"/>
  <c r="X680" i="21"/>
  <c r="Y680" i="21" s="1"/>
  <c r="Y679" i="21"/>
  <c r="X679" i="21"/>
  <c r="X678" i="21"/>
  <c r="Y678" i="21" s="1"/>
  <c r="Y677" i="21"/>
  <c r="X677" i="21"/>
  <c r="Y676" i="21"/>
  <c r="X676" i="21"/>
  <c r="Y675" i="21"/>
  <c r="X675" i="21"/>
  <c r="Y674" i="21"/>
  <c r="X674" i="21"/>
  <c r="Y673" i="21"/>
  <c r="X673" i="21"/>
  <c r="Y672" i="21"/>
  <c r="X672" i="21"/>
  <c r="X671" i="21"/>
  <c r="Y671" i="21" s="1"/>
  <c r="Y670" i="21"/>
  <c r="X670" i="21"/>
  <c r="Y669" i="21"/>
  <c r="X669" i="21"/>
  <c r="Y668" i="21"/>
  <c r="X668" i="21"/>
  <c r="X667" i="21"/>
  <c r="Y667" i="21" s="1"/>
  <c r="Y666" i="21"/>
  <c r="X666" i="21"/>
  <c r="Y665" i="21"/>
  <c r="X665" i="21"/>
  <c r="Y664" i="21"/>
  <c r="X664" i="21"/>
  <c r="Y663" i="21"/>
  <c r="X663" i="21"/>
  <c r="Y662" i="21"/>
  <c r="X662" i="21"/>
  <c r="Y661" i="21"/>
  <c r="X661" i="21"/>
  <c r="Y660" i="21"/>
  <c r="X660" i="21"/>
  <c r="Y659" i="21"/>
  <c r="X659" i="21"/>
  <c r="Y658" i="21"/>
  <c r="X658" i="21"/>
  <c r="X657" i="21"/>
  <c r="Y657" i="21" s="1"/>
  <c r="Y656" i="21"/>
  <c r="X656" i="21"/>
  <c r="X655" i="21"/>
  <c r="Y655" i="21" s="1"/>
  <c r="Y654" i="21"/>
  <c r="X654" i="21"/>
  <c r="X653" i="21"/>
  <c r="Y653" i="21" s="1"/>
  <c r="Y652" i="21"/>
  <c r="X652" i="21"/>
  <c r="Y651" i="21"/>
  <c r="X651" i="21"/>
  <c r="X650" i="21"/>
  <c r="Y650" i="21" s="1"/>
  <c r="Y649" i="21"/>
  <c r="X649" i="21"/>
  <c r="Y648" i="21"/>
  <c r="X648" i="21"/>
  <c r="Y647" i="21"/>
  <c r="X647" i="21"/>
  <c r="X646" i="21"/>
  <c r="Y646" i="21" s="1"/>
  <c r="Y645" i="21"/>
  <c r="X645" i="21"/>
  <c r="X644" i="21"/>
  <c r="Y644" i="21" s="1"/>
  <c r="Y643" i="21"/>
  <c r="X643" i="21"/>
  <c r="X642" i="21"/>
  <c r="Y642" i="21" s="1"/>
  <c r="Y641" i="21"/>
  <c r="X641" i="21"/>
  <c r="X640" i="21"/>
  <c r="Y640" i="21" s="1"/>
  <c r="Y639" i="21"/>
  <c r="X639" i="21"/>
  <c r="X638" i="21"/>
  <c r="Y638" i="21" s="1"/>
  <c r="Y637" i="21"/>
  <c r="X637" i="21"/>
  <c r="X636" i="21"/>
  <c r="Y636" i="21" s="1"/>
  <c r="Y635" i="21"/>
  <c r="X635" i="21"/>
  <c r="X634" i="21"/>
  <c r="Y634" i="21" s="1"/>
  <c r="X633" i="21"/>
  <c r="Y633" i="21" s="1"/>
  <c r="X632" i="21"/>
  <c r="Y632" i="21" s="1"/>
  <c r="Y631" i="21"/>
  <c r="X631" i="21"/>
  <c r="Y630" i="21"/>
  <c r="X630" i="21"/>
  <c r="X629" i="21"/>
  <c r="Y629" i="21" s="1"/>
  <c r="X628" i="21"/>
  <c r="Y628" i="21" s="1"/>
  <c r="X627" i="21"/>
  <c r="Y627" i="21" s="1"/>
  <c r="X626" i="21"/>
  <c r="Y626" i="21" s="1"/>
  <c r="X625" i="21"/>
  <c r="Y625" i="21" s="1"/>
  <c r="Y624" i="21"/>
  <c r="X624" i="21"/>
  <c r="X623" i="21"/>
  <c r="Y623" i="21" s="1"/>
  <c r="X622" i="21"/>
  <c r="Y622" i="21" s="1"/>
  <c r="X621" i="21"/>
  <c r="Y621" i="21" s="1"/>
  <c r="X620" i="21"/>
  <c r="Y620" i="21" s="1"/>
  <c r="Y619" i="21"/>
  <c r="X619" i="21"/>
  <c r="Y618" i="21"/>
  <c r="X618" i="21"/>
  <c r="Y617" i="21"/>
  <c r="X617" i="21"/>
  <c r="X616" i="21"/>
  <c r="Y616" i="21" s="1"/>
  <c r="X615" i="21"/>
  <c r="Y615" i="21" s="1"/>
  <c r="X614" i="21"/>
  <c r="Y614" i="21" s="1"/>
  <c r="X613" i="21"/>
  <c r="Y613" i="21" s="1"/>
  <c r="X612" i="21"/>
  <c r="Y612" i="21" s="1"/>
  <c r="X611" i="21"/>
  <c r="Y611" i="21" s="1"/>
  <c r="X610" i="21"/>
  <c r="Y610" i="21" s="1"/>
  <c r="X609" i="21"/>
  <c r="Y609" i="21" s="1"/>
  <c r="X608" i="21"/>
  <c r="Y608" i="21" s="1"/>
  <c r="X607" i="21"/>
  <c r="Y607" i="21" s="1"/>
  <c r="X606" i="21"/>
  <c r="Y606" i="21" s="1"/>
  <c r="X605" i="21"/>
  <c r="Y605" i="21" s="1"/>
  <c r="X604" i="21"/>
  <c r="Y604" i="21" s="1"/>
  <c r="X603" i="21"/>
  <c r="Y603" i="21" s="1"/>
  <c r="X602" i="21"/>
  <c r="Y602" i="21" s="1"/>
  <c r="X601" i="21"/>
  <c r="Y601" i="21" s="1"/>
  <c r="X600" i="21"/>
  <c r="Y600" i="21" s="1"/>
  <c r="X599" i="21"/>
  <c r="Y599" i="21" s="1"/>
  <c r="X598" i="21"/>
  <c r="Y598" i="21" s="1"/>
  <c r="X597" i="21"/>
  <c r="Y597" i="21" s="1"/>
  <c r="Y596" i="21"/>
  <c r="X596" i="21"/>
  <c r="Y595" i="21"/>
  <c r="X595" i="21"/>
  <c r="Y594" i="21"/>
  <c r="X594" i="21"/>
  <c r="Y593" i="21"/>
  <c r="X593" i="21"/>
  <c r="Y592" i="21"/>
  <c r="X592" i="21"/>
  <c r="X591" i="21"/>
  <c r="Y591" i="21" s="1"/>
  <c r="X590" i="21"/>
  <c r="Y590" i="21" s="1"/>
  <c r="X589" i="21"/>
  <c r="Y589" i="21" s="1"/>
  <c r="X588" i="21"/>
  <c r="Y588" i="21" s="1"/>
  <c r="Y587" i="21"/>
  <c r="X587" i="21"/>
  <c r="X586" i="21"/>
  <c r="Y586" i="21" s="1"/>
  <c r="X585" i="21"/>
  <c r="Y585" i="21" s="1"/>
  <c r="X584" i="21"/>
  <c r="Y584" i="21" s="1"/>
  <c r="X583" i="21"/>
  <c r="Y583" i="21" s="1"/>
  <c r="Y582" i="21"/>
  <c r="X582" i="21"/>
  <c r="X581" i="21"/>
  <c r="Y581" i="21" s="1"/>
  <c r="X580" i="21"/>
  <c r="Y580" i="21" s="1"/>
  <c r="X579" i="21"/>
  <c r="Y579" i="21" s="1"/>
  <c r="X578" i="21"/>
  <c r="Y578" i="21" s="1"/>
  <c r="Y577" i="21"/>
  <c r="X577" i="21"/>
  <c r="Y576" i="21"/>
  <c r="X576" i="21"/>
  <c r="X575" i="21"/>
  <c r="Y575" i="21" s="1"/>
  <c r="X574" i="21"/>
  <c r="Y574" i="21" s="1"/>
  <c r="X573" i="21"/>
  <c r="Y573" i="21" s="1"/>
  <c r="Y572" i="21"/>
  <c r="X572" i="21"/>
  <c r="Y571" i="21"/>
  <c r="X571" i="21"/>
  <c r="X570" i="21"/>
  <c r="Y570" i="21" s="1"/>
  <c r="X569" i="21"/>
  <c r="Y569" i="21" s="1"/>
  <c r="Y568" i="21"/>
  <c r="X568" i="21"/>
  <c r="Y567" i="21"/>
  <c r="X567" i="21"/>
  <c r="X566" i="21"/>
  <c r="Y566" i="21" s="1"/>
  <c r="X565" i="21"/>
  <c r="Y565" i="21" s="1"/>
  <c r="Y564" i="21"/>
  <c r="X564" i="21"/>
  <c r="X563" i="21"/>
  <c r="Y563" i="21" s="1"/>
  <c r="Y562" i="21"/>
  <c r="X562" i="21"/>
  <c r="X561" i="21"/>
  <c r="Y561" i="21" s="1"/>
  <c r="X560" i="21"/>
  <c r="Y560" i="21" s="1"/>
  <c r="Y559" i="21"/>
  <c r="X559" i="21"/>
  <c r="X558" i="21"/>
  <c r="Y558" i="21" s="1"/>
  <c r="X557" i="21"/>
  <c r="Y557" i="21" s="1"/>
  <c r="X556" i="21"/>
  <c r="Y556" i="21" s="1"/>
  <c r="X555" i="21"/>
  <c r="Y555" i="21" s="1"/>
  <c r="X554" i="21"/>
  <c r="Y554" i="21" s="1"/>
  <c r="X553" i="21"/>
  <c r="Y553" i="21" s="1"/>
  <c r="Y552" i="21"/>
  <c r="X552" i="21"/>
  <c r="X551" i="21"/>
  <c r="Y551" i="21" s="1"/>
  <c r="X550" i="21"/>
  <c r="Y550" i="21" s="1"/>
  <c r="X549" i="21"/>
  <c r="Y549" i="21" s="1"/>
  <c r="Y548" i="21"/>
  <c r="X548" i="21"/>
  <c r="X547" i="21"/>
  <c r="Y547" i="21" s="1"/>
  <c r="Y546" i="21"/>
  <c r="X546" i="21"/>
  <c r="Y545" i="21"/>
  <c r="X545" i="21"/>
  <c r="Y544" i="21"/>
  <c r="X544" i="21"/>
  <c r="Y543" i="21"/>
  <c r="X543" i="21"/>
  <c r="Y542" i="21"/>
  <c r="X542" i="21"/>
  <c r="X541" i="21"/>
  <c r="Y541" i="21" s="1"/>
  <c r="X540" i="21"/>
  <c r="Y540" i="21" s="1"/>
  <c r="Y539" i="21"/>
  <c r="X539" i="21"/>
  <c r="X538" i="21"/>
  <c r="Y538" i="21" s="1"/>
  <c r="Y537" i="21"/>
  <c r="X537" i="21"/>
  <c r="X536" i="21"/>
  <c r="Y536" i="21" s="1"/>
  <c r="X535" i="21"/>
  <c r="Y535" i="21" s="1"/>
  <c r="Y534" i="21"/>
  <c r="X534" i="21"/>
  <c r="X533" i="21"/>
  <c r="Y533" i="21" s="1"/>
  <c r="Y532" i="21"/>
  <c r="X532" i="21"/>
  <c r="X531" i="21"/>
  <c r="Y531" i="21" s="1"/>
  <c r="X530" i="21"/>
  <c r="Y530" i="21" s="1"/>
  <c r="Y529" i="21"/>
  <c r="X529" i="21"/>
  <c r="X528" i="21"/>
  <c r="Y528" i="21" s="1"/>
  <c r="Y527" i="21"/>
  <c r="X527" i="21"/>
  <c r="Y526" i="21"/>
  <c r="X526" i="21"/>
  <c r="X525" i="21"/>
  <c r="Y525" i="21" s="1"/>
  <c r="X524" i="21"/>
  <c r="Y524" i="21" s="1"/>
  <c r="X523" i="21"/>
  <c r="Y523" i="21" s="1"/>
  <c r="Y522" i="21"/>
  <c r="X522" i="21"/>
  <c r="Y521" i="21"/>
  <c r="X521" i="21"/>
  <c r="Y520" i="21"/>
  <c r="X520" i="21"/>
  <c r="X519" i="21"/>
  <c r="Y519" i="21" s="1"/>
  <c r="Y518" i="21"/>
  <c r="X518" i="21"/>
  <c r="Y517" i="21"/>
  <c r="X517" i="21"/>
  <c r="X516" i="21"/>
  <c r="Y516" i="21" s="1"/>
  <c r="X515" i="21"/>
  <c r="Y515" i="21" s="1"/>
  <c r="X514" i="21"/>
  <c r="Y514" i="21" s="1"/>
  <c r="X513" i="21"/>
  <c r="Y513" i="21" s="1"/>
  <c r="Y512" i="21"/>
  <c r="X512" i="21"/>
  <c r="X511" i="21"/>
  <c r="Y511" i="21" s="1"/>
  <c r="Y510" i="21"/>
  <c r="X510" i="21"/>
  <c r="X509" i="21"/>
  <c r="Y509" i="21" s="1"/>
  <c r="X508" i="21"/>
  <c r="Y508" i="21" s="1"/>
  <c r="X507" i="21"/>
  <c r="Y507" i="21" s="1"/>
  <c r="X506" i="21"/>
  <c r="Y506" i="21" s="1"/>
  <c r="X505" i="21"/>
  <c r="Y505" i="21" s="1"/>
  <c r="X504" i="21"/>
  <c r="Y504" i="21" s="1"/>
  <c r="X503" i="21"/>
  <c r="Y503" i="21" s="1"/>
  <c r="X502" i="21"/>
  <c r="Y502" i="21" s="1"/>
  <c r="X501" i="21"/>
  <c r="Y501" i="21" s="1"/>
  <c r="X500" i="21"/>
  <c r="Y500" i="21" s="1"/>
  <c r="X499" i="21"/>
  <c r="Y499" i="21" s="1"/>
  <c r="X498" i="21"/>
  <c r="Y498" i="21" s="1"/>
  <c r="X497" i="21"/>
  <c r="Y497" i="21" s="1"/>
  <c r="Y496" i="21"/>
  <c r="X496" i="21"/>
  <c r="Y495" i="21"/>
  <c r="X495" i="21"/>
  <c r="Y494" i="21"/>
  <c r="X494" i="21"/>
  <c r="Y493" i="21"/>
  <c r="X493" i="21"/>
  <c r="Y492" i="21"/>
  <c r="X492" i="21"/>
  <c r="X491" i="21"/>
  <c r="Y491" i="21" s="1"/>
  <c r="X490" i="21"/>
  <c r="Y490" i="21" s="1"/>
  <c r="X489" i="21"/>
  <c r="Y489" i="21" s="1"/>
  <c r="X488" i="21"/>
  <c r="Y488" i="21" s="1"/>
  <c r="Y487" i="21"/>
  <c r="X487" i="21"/>
  <c r="X486" i="21"/>
  <c r="Y486" i="21" s="1"/>
  <c r="X485" i="21"/>
  <c r="Y485" i="21" s="1"/>
  <c r="Y484" i="21"/>
  <c r="X484" i="21"/>
  <c r="X483" i="21"/>
  <c r="Y483" i="21" s="1"/>
  <c r="Y482" i="21"/>
  <c r="X482" i="21"/>
  <c r="X481" i="21"/>
  <c r="Y481" i="21" s="1"/>
  <c r="X480" i="21"/>
  <c r="Y480" i="21" s="1"/>
  <c r="X479" i="21"/>
  <c r="Y479" i="21" s="1"/>
  <c r="X478" i="21"/>
  <c r="Y478" i="21" s="1"/>
  <c r="Y477" i="21"/>
  <c r="X477" i="21"/>
  <c r="Y476" i="21"/>
  <c r="X476" i="21"/>
  <c r="Y475" i="21"/>
  <c r="X475" i="21"/>
  <c r="X474" i="21"/>
  <c r="Y474" i="21" s="1"/>
  <c r="X473" i="21"/>
  <c r="Y473" i="21" s="1"/>
  <c r="Y472" i="21"/>
  <c r="X472" i="21"/>
  <c r="Y471" i="21"/>
  <c r="X471" i="21"/>
  <c r="X470" i="21"/>
  <c r="Y470" i="21" s="1"/>
  <c r="X469" i="21"/>
  <c r="Y469" i="21" s="1"/>
  <c r="Y468" i="21"/>
  <c r="X468" i="21"/>
  <c r="Y467" i="21"/>
  <c r="X467" i="21"/>
  <c r="X466" i="21"/>
  <c r="Y466" i="21" s="1"/>
  <c r="X465" i="21"/>
  <c r="Y465" i="21" s="1"/>
  <c r="X464" i="21"/>
  <c r="Y464" i="21" s="1"/>
  <c r="X463" i="21"/>
  <c r="Y463" i="21" s="1"/>
  <c r="X462" i="21"/>
  <c r="Y462" i="21" s="1"/>
  <c r="X461" i="21"/>
  <c r="Y461" i="21" s="1"/>
  <c r="X460" i="21"/>
  <c r="Y460" i="21" s="1"/>
  <c r="X459" i="21"/>
  <c r="Y459" i="21" s="1"/>
  <c r="Y458" i="21"/>
  <c r="X458" i="21"/>
  <c r="X457" i="21"/>
  <c r="Y457" i="21" s="1"/>
  <c r="X456" i="21"/>
  <c r="Y456" i="21" s="1"/>
  <c r="X455" i="21"/>
  <c r="Y455" i="21" s="1"/>
  <c r="X454" i="21"/>
  <c r="Y454" i="21" s="1"/>
  <c r="X453" i="21"/>
  <c r="Y453" i="21" s="1"/>
  <c r="X452" i="21"/>
  <c r="Y452" i="21" s="1"/>
  <c r="X451" i="21"/>
  <c r="Y451" i="21" s="1"/>
  <c r="X450" i="21"/>
  <c r="Y450" i="21" s="1"/>
  <c r="X449" i="21"/>
  <c r="Y449" i="21" s="1"/>
  <c r="X448" i="21"/>
  <c r="Y448" i="21" s="1"/>
  <c r="X447" i="21"/>
  <c r="Y447" i="21" s="1"/>
  <c r="X446" i="21"/>
  <c r="Y446" i="21" s="1"/>
  <c r="X445" i="21"/>
  <c r="Y445" i="21" s="1"/>
  <c r="X444" i="21"/>
  <c r="Y444" i="21" s="1"/>
  <c r="X443" i="21"/>
  <c r="Y443" i="21" s="1"/>
  <c r="X442" i="21"/>
  <c r="Y442" i="21" s="1"/>
  <c r="X441" i="21"/>
  <c r="Y441" i="21" s="1"/>
  <c r="X440" i="21"/>
  <c r="Y440" i="21" s="1"/>
  <c r="X439" i="21"/>
  <c r="Y439" i="21" s="1"/>
  <c r="X438" i="21"/>
  <c r="Y438" i="21" s="1"/>
  <c r="X437" i="21"/>
  <c r="Y437" i="21" s="1"/>
  <c r="Y436" i="21"/>
  <c r="X436" i="21"/>
  <c r="Y435" i="21"/>
  <c r="X435" i="21"/>
  <c r="Y434" i="21"/>
  <c r="X434" i="21"/>
  <c r="Y433" i="21"/>
  <c r="X433" i="21"/>
  <c r="Y432" i="21"/>
  <c r="X432" i="21"/>
  <c r="Y431" i="21"/>
  <c r="X431" i="21"/>
  <c r="Y430" i="21"/>
  <c r="X430" i="21"/>
  <c r="X429" i="21"/>
  <c r="Y429" i="21" s="1"/>
  <c r="X428" i="21"/>
  <c r="Y428" i="21" s="1"/>
  <c r="X427" i="21"/>
  <c r="Y427" i="21" s="1"/>
  <c r="X426" i="21"/>
  <c r="Y426" i="21" s="1"/>
  <c r="X425" i="21"/>
  <c r="Y425" i="21" s="1"/>
  <c r="X424" i="21"/>
  <c r="Y424" i="21" s="1"/>
  <c r="Y423" i="21"/>
  <c r="X423" i="21"/>
  <c r="Y422" i="21"/>
  <c r="X422" i="21"/>
  <c r="X421" i="21"/>
  <c r="Y421" i="21" s="1"/>
  <c r="Y420" i="21"/>
  <c r="X420" i="21"/>
  <c r="X419" i="21"/>
  <c r="Y419" i="21" s="1"/>
  <c r="Y418" i="21"/>
  <c r="X418" i="21"/>
  <c r="X417" i="21"/>
  <c r="Y417" i="21" s="1"/>
  <c r="X416" i="21"/>
  <c r="Y416" i="21" s="1"/>
  <c r="X415" i="21"/>
  <c r="Y415" i="21" s="1"/>
  <c r="X414" i="21"/>
  <c r="Y414" i="21" s="1"/>
  <c r="X413" i="21"/>
  <c r="Y413" i="21" s="1"/>
  <c r="X412" i="21"/>
  <c r="Y412" i="21" s="1"/>
  <c r="Y411" i="21"/>
  <c r="X411" i="21"/>
  <c r="X410" i="21"/>
  <c r="Y410" i="21" s="1"/>
  <c r="X409" i="21"/>
  <c r="Y409" i="21" s="1"/>
  <c r="X408" i="21"/>
  <c r="Y408" i="21" s="1"/>
  <c r="X407" i="21"/>
  <c r="Y407" i="21" s="1"/>
  <c r="X406" i="21"/>
  <c r="Y406" i="21" s="1"/>
  <c r="X405" i="21"/>
  <c r="Y405" i="21" s="1"/>
  <c r="Y404" i="21"/>
  <c r="X404" i="21"/>
  <c r="X403" i="21"/>
  <c r="Y403" i="21" s="1"/>
  <c r="X402" i="21"/>
  <c r="Y402" i="21" s="1"/>
  <c r="X401" i="21"/>
  <c r="Y401" i="21" s="1"/>
  <c r="X400" i="21"/>
  <c r="Y400" i="21" s="1"/>
  <c r="Y399" i="21"/>
  <c r="X399" i="21"/>
  <c r="Y398" i="21"/>
  <c r="X398" i="21"/>
  <c r="X397" i="21"/>
  <c r="Y397" i="21" s="1"/>
  <c r="X396" i="21"/>
  <c r="Y396" i="21" s="1"/>
  <c r="Y395" i="21"/>
  <c r="X395" i="21"/>
  <c r="Y394" i="21"/>
  <c r="X394" i="21"/>
  <c r="X393" i="21"/>
  <c r="Y393" i="21" s="1"/>
  <c r="X392" i="21"/>
  <c r="Y392" i="21" s="1"/>
  <c r="Y391" i="21"/>
  <c r="X391" i="21"/>
  <c r="Y390" i="21"/>
  <c r="X390" i="21"/>
  <c r="X389" i="21"/>
  <c r="Y389" i="21" s="1"/>
  <c r="Y387" i="21"/>
  <c r="X387" i="21"/>
  <c r="X386" i="21"/>
  <c r="Y386" i="21" s="1"/>
  <c r="Y385" i="21"/>
  <c r="X385" i="21"/>
  <c r="X384" i="21"/>
  <c r="Y384" i="21" s="1"/>
  <c r="Y383" i="21"/>
  <c r="X383" i="21"/>
  <c r="X382" i="21"/>
  <c r="Y382" i="21" s="1"/>
  <c r="Y381" i="21"/>
  <c r="X381" i="21"/>
  <c r="X380" i="21"/>
  <c r="Y380" i="21" s="1"/>
  <c r="X379" i="21"/>
  <c r="Y379" i="21" s="1"/>
  <c r="Y378" i="21"/>
  <c r="X378" i="21"/>
  <c r="X377" i="21"/>
  <c r="Y377" i="21" s="1"/>
  <c r="Y376" i="21"/>
  <c r="X376" i="21"/>
  <c r="X375" i="21"/>
  <c r="Y375" i="21" s="1"/>
  <c r="Y374" i="21"/>
  <c r="X374" i="21"/>
  <c r="X373" i="21"/>
  <c r="Y373" i="21" s="1"/>
  <c r="Y372" i="21"/>
  <c r="X372" i="21"/>
  <c r="X371" i="21"/>
  <c r="Y371" i="21" s="1"/>
  <c r="Y370" i="21"/>
  <c r="X370" i="21"/>
  <c r="X369" i="21"/>
  <c r="Y369" i="21" s="1"/>
  <c r="X368" i="21"/>
  <c r="Y368" i="21" s="1"/>
  <c r="X367" i="21"/>
  <c r="Y367" i="21" s="1"/>
  <c r="Y366" i="21"/>
  <c r="X366" i="21"/>
  <c r="X365" i="21"/>
  <c r="Y365" i="21" s="1"/>
  <c r="X364" i="21"/>
  <c r="Y364" i="21" s="1"/>
  <c r="Y363" i="21"/>
  <c r="X363" i="21"/>
  <c r="X362" i="21"/>
  <c r="Y362" i="21" s="1"/>
  <c r="Y361" i="21"/>
  <c r="X361" i="21"/>
  <c r="X360" i="21"/>
  <c r="Y360" i="21" s="1"/>
  <c r="Y359" i="21"/>
  <c r="X359" i="21"/>
  <c r="Y358" i="21"/>
  <c r="X358" i="21"/>
  <c r="Y357" i="21"/>
  <c r="X357" i="21"/>
  <c r="Y356" i="21"/>
  <c r="X356" i="21"/>
  <c r="Y355" i="21"/>
  <c r="X355" i="21"/>
  <c r="X354" i="21"/>
  <c r="Y354" i="21" s="1"/>
  <c r="X353" i="21"/>
  <c r="Y353" i="21" s="1"/>
  <c r="Y352" i="21"/>
  <c r="X352" i="21"/>
  <c r="Y351" i="21"/>
  <c r="X351" i="21"/>
  <c r="X350" i="21"/>
  <c r="Y350" i="21" s="1"/>
  <c r="Y349" i="21"/>
  <c r="X349" i="21"/>
  <c r="X348" i="21"/>
  <c r="Y348" i="21" s="1"/>
  <c r="X347" i="21"/>
  <c r="Y347" i="21" s="1"/>
  <c r="X346" i="21"/>
  <c r="Y346" i="21" s="1"/>
  <c r="Y345" i="21"/>
  <c r="X345" i="21"/>
  <c r="Y344" i="21"/>
  <c r="X344" i="21"/>
  <c r="X343" i="21"/>
  <c r="Y343" i="21" s="1"/>
  <c r="Y342" i="21"/>
  <c r="X342" i="21"/>
  <c r="Y339" i="21"/>
  <c r="X339" i="21"/>
  <c r="Y338" i="21"/>
  <c r="X338" i="21"/>
  <c r="Y337" i="21"/>
  <c r="X337" i="21"/>
  <c r="Y336" i="21"/>
  <c r="X336" i="21"/>
  <c r="Y335" i="21"/>
  <c r="X335" i="21"/>
  <c r="Y334" i="21"/>
  <c r="X334" i="21"/>
  <c r="X333" i="21"/>
  <c r="Y333" i="21" s="1"/>
  <c r="Y332" i="21"/>
  <c r="X332" i="21"/>
  <c r="X331" i="21"/>
  <c r="Y331" i="21" s="1"/>
  <c r="X330" i="21"/>
  <c r="Y330" i="21" s="1"/>
  <c r="Y329" i="21"/>
  <c r="X329" i="21"/>
  <c r="X328" i="21"/>
  <c r="Y328" i="21" s="1"/>
  <c r="Y327" i="21"/>
  <c r="X327" i="21"/>
  <c r="X326" i="21"/>
  <c r="Y326" i="21" s="1"/>
  <c r="X325" i="21"/>
  <c r="Y325" i="21" s="1"/>
  <c r="Y324" i="21"/>
  <c r="X324" i="21"/>
  <c r="Y323" i="21"/>
  <c r="X323" i="21"/>
  <c r="X322" i="21"/>
  <c r="Y322" i="21" s="1"/>
  <c r="Y321" i="21"/>
  <c r="X321" i="21"/>
  <c r="X320" i="21"/>
  <c r="Y320" i="21" s="1"/>
  <c r="Y319" i="21"/>
  <c r="X319" i="21"/>
  <c r="Y318" i="21"/>
  <c r="X318" i="21"/>
  <c r="Y317" i="21"/>
  <c r="X317" i="21"/>
  <c r="X316" i="21"/>
  <c r="Y316" i="21" s="1"/>
  <c r="Y315" i="21"/>
  <c r="X315" i="21"/>
  <c r="X314" i="21"/>
  <c r="Y314" i="21" s="1"/>
  <c r="X313" i="21"/>
  <c r="Y313" i="21" s="1"/>
  <c r="Y312" i="21"/>
  <c r="X312" i="21"/>
  <c r="Y311" i="21"/>
  <c r="X311" i="21"/>
  <c r="Y310" i="21"/>
  <c r="X310" i="21"/>
  <c r="X309" i="21"/>
  <c r="Y309" i="21" s="1"/>
  <c r="Y308" i="21"/>
  <c r="X308" i="21"/>
  <c r="X307" i="21"/>
  <c r="Y307" i="21" s="1"/>
  <c r="Y306" i="21"/>
  <c r="X306" i="21"/>
  <c r="X305" i="21"/>
  <c r="Y305" i="21" s="1"/>
  <c r="X304" i="21"/>
  <c r="Y304" i="21" s="1"/>
  <c r="Y303" i="21"/>
  <c r="X303" i="21"/>
  <c r="X302" i="21"/>
  <c r="Y302" i="21" s="1"/>
  <c r="X301" i="21"/>
  <c r="Y301" i="21" s="1"/>
  <c r="Y300" i="21"/>
  <c r="X300" i="21"/>
  <c r="X299" i="21"/>
  <c r="Y299" i="21" s="1"/>
  <c r="Y298" i="21"/>
  <c r="X298" i="21"/>
  <c r="X297" i="21"/>
  <c r="Y297" i="21" s="1"/>
  <c r="Y296" i="21"/>
  <c r="X296" i="21"/>
  <c r="X295" i="21"/>
  <c r="Y295" i="21" s="1"/>
  <c r="Y294" i="21"/>
  <c r="X294" i="21"/>
  <c r="Y293" i="21"/>
  <c r="X293" i="21"/>
  <c r="X292" i="21"/>
  <c r="Y292" i="21" s="1"/>
  <c r="Y291" i="21"/>
  <c r="X291" i="21"/>
  <c r="Y290" i="21"/>
  <c r="X290" i="21"/>
  <c r="X289" i="21"/>
  <c r="Y289" i="21" s="1"/>
  <c r="X288" i="21"/>
  <c r="Y288" i="21" s="1"/>
  <c r="X287" i="21"/>
  <c r="Y287" i="21" s="1"/>
  <c r="X286" i="21"/>
  <c r="Y286" i="21" s="1"/>
  <c r="Y285" i="21"/>
  <c r="X285" i="21"/>
  <c r="X284" i="21"/>
  <c r="Y284" i="21" s="1"/>
  <c r="X283" i="21"/>
  <c r="Y283" i="21" s="1"/>
  <c r="X282" i="21"/>
  <c r="Y282" i="21" s="1"/>
  <c r="X281" i="21"/>
  <c r="Y281" i="21" s="1"/>
  <c r="Y280" i="21"/>
  <c r="X280" i="21"/>
  <c r="X279" i="21"/>
  <c r="Y279" i="21" s="1"/>
  <c r="Y278" i="21"/>
  <c r="X278" i="21"/>
  <c r="Y277" i="21"/>
  <c r="X277" i="21"/>
  <c r="X276" i="21"/>
  <c r="Y276" i="21" s="1"/>
  <c r="Y275" i="21"/>
  <c r="X275" i="21"/>
  <c r="X274" i="21"/>
  <c r="Y274" i="21" s="1"/>
  <c r="X273" i="21"/>
  <c r="Y273" i="21" s="1"/>
  <c r="X272" i="21"/>
  <c r="Y272" i="21" s="1"/>
  <c r="X271" i="21"/>
  <c r="Y271" i="21" s="1"/>
  <c r="X270" i="21"/>
  <c r="Y270" i="21" s="1"/>
  <c r="Y269" i="21"/>
  <c r="X269" i="21"/>
  <c r="Y268" i="21"/>
  <c r="X268" i="21"/>
  <c r="X267" i="21"/>
  <c r="Y267" i="21" s="1"/>
  <c r="X266" i="21"/>
  <c r="Y266" i="21" s="1"/>
  <c r="Y265" i="21"/>
  <c r="X265" i="21"/>
  <c r="X264" i="21"/>
  <c r="Y264" i="21" s="1"/>
  <c r="X263" i="21"/>
  <c r="Y263" i="21" s="1"/>
  <c r="X262" i="21"/>
  <c r="Y262" i="21" s="1"/>
  <c r="Y261" i="21"/>
  <c r="X261" i="21"/>
  <c r="X260" i="21"/>
  <c r="Y260" i="21" s="1"/>
  <c r="Y259" i="21"/>
  <c r="X259" i="21"/>
  <c r="X258" i="21"/>
  <c r="Y258" i="21" s="1"/>
  <c r="Y257" i="21"/>
  <c r="X257" i="21"/>
  <c r="X256" i="21"/>
  <c r="Y256" i="21" s="1"/>
  <c r="Y255" i="21"/>
  <c r="X255" i="21"/>
  <c r="X254" i="21"/>
  <c r="Y254" i="21" s="1"/>
  <c r="X253" i="21"/>
  <c r="Y253" i="21" s="1"/>
  <c r="X252" i="21"/>
  <c r="Y252" i="21" s="1"/>
  <c r="X251" i="21"/>
  <c r="Y251" i="21" s="1"/>
  <c r="X250" i="21"/>
  <c r="Y250" i="21" s="1"/>
  <c r="X249" i="21"/>
  <c r="Y249" i="21" s="1"/>
  <c r="Y248" i="21"/>
  <c r="X248" i="21"/>
  <c r="X247" i="21"/>
  <c r="Y247" i="21" s="1"/>
  <c r="Y244" i="21"/>
  <c r="X244" i="21"/>
  <c r="Y243" i="21"/>
  <c r="X243" i="21"/>
  <c r="Y242" i="21"/>
  <c r="X242" i="21"/>
  <c r="Y239" i="21"/>
  <c r="X239" i="21"/>
  <c r="X238" i="21"/>
  <c r="Y238" i="21" s="1"/>
  <c r="Y237" i="21"/>
  <c r="X237" i="21"/>
  <c r="Y236" i="21"/>
  <c r="X236" i="21"/>
  <c r="Y235" i="21"/>
  <c r="X235" i="21"/>
  <c r="Y234" i="21"/>
  <c r="X234" i="21"/>
  <c r="Y233" i="21"/>
  <c r="X233" i="21"/>
  <c r="Y232" i="21"/>
  <c r="X232" i="21"/>
  <c r="Y231" i="21"/>
  <c r="X231" i="21"/>
  <c r="Y230" i="21"/>
  <c r="X230" i="21"/>
  <c r="Y229" i="21"/>
  <c r="X229" i="21"/>
  <c r="Y228" i="21"/>
  <c r="X228" i="21"/>
  <c r="X227" i="21"/>
  <c r="Y227" i="21" s="1"/>
  <c r="X226" i="21"/>
  <c r="Y226" i="21" s="1"/>
  <c r="X225" i="21"/>
  <c r="Y225" i="21" s="1"/>
  <c r="X224" i="21"/>
  <c r="Y224" i="21" s="1"/>
  <c r="X223" i="21"/>
  <c r="Y223" i="21" s="1"/>
  <c r="X222" i="21"/>
  <c r="Y222" i="21" s="1"/>
  <c r="X221" i="21"/>
  <c r="Y221" i="21" s="1"/>
  <c r="X220" i="21"/>
  <c r="Y220" i="21" s="1"/>
  <c r="X219" i="21"/>
  <c r="Y219" i="21" s="1"/>
  <c r="Y218" i="21"/>
  <c r="X218" i="21"/>
  <c r="Y217" i="21"/>
  <c r="X217" i="21"/>
  <c r="Y216" i="21"/>
  <c r="X216" i="21"/>
  <c r="Y215" i="21"/>
  <c r="X215" i="21"/>
  <c r="Y214" i="21"/>
  <c r="X214" i="21"/>
  <c r="Y213" i="21"/>
  <c r="X213" i="21"/>
  <c r="X212" i="21"/>
  <c r="Y212" i="21" s="1"/>
  <c r="X211" i="21"/>
  <c r="Y211" i="21" s="1"/>
  <c r="X210" i="21"/>
  <c r="Y210" i="21" s="1"/>
  <c r="X209" i="21"/>
  <c r="Y209" i="21" s="1"/>
  <c r="Y208" i="21"/>
  <c r="X208" i="21"/>
  <c r="Y207" i="21"/>
  <c r="X207" i="21"/>
  <c r="Y206" i="21"/>
  <c r="X206" i="21"/>
  <c r="X205" i="21"/>
  <c r="Y205" i="21" s="1"/>
  <c r="X204" i="21"/>
  <c r="Y204" i="21" s="1"/>
  <c r="Y203" i="21"/>
  <c r="X203" i="21"/>
  <c r="X202" i="21"/>
  <c r="Y202" i="21" s="1"/>
  <c r="X201" i="21"/>
  <c r="Y201" i="21" s="1"/>
  <c r="Y200" i="21"/>
  <c r="X200" i="21"/>
  <c r="Y199" i="21"/>
  <c r="X199" i="21"/>
  <c r="Y198" i="21"/>
  <c r="X198" i="21"/>
  <c r="X197" i="21"/>
  <c r="Y197" i="21" s="1"/>
  <c r="X196" i="21"/>
  <c r="Y196" i="21" s="1"/>
  <c r="Y195" i="21"/>
  <c r="X195" i="21"/>
  <c r="Y194" i="21"/>
  <c r="X194" i="21"/>
  <c r="Y193" i="21"/>
  <c r="X193" i="21"/>
  <c r="Y192" i="21"/>
  <c r="X192" i="21"/>
  <c r="X189" i="21"/>
  <c r="Y189" i="21" s="1"/>
  <c r="Y188" i="21"/>
  <c r="X188" i="21"/>
  <c r="Y187" i="21"/>
  <c r="X187" i="21"/>
  <c r="X175" i="21"/>
  <c r="Y175" i="21" s="1"/>
  <c r="Y174" i="21"/>
  <c r="X174" i="21"/>
  <c r="X173" i="21"/>
  <c r="Y173" i="21" s="1"/>
  <c r="Y172" i="21"/>
  <c r="X172" i="21"/>
  <c r="Y171" i="21"/>
  <c r="X171" i="21"/>
  <c r="Y170" i="21"/>
  <c r="X170" i="21"/>
  <c r="X169" i="21"/>
  <c r="Y169" i="21" s="1"/>
  <c r="X168" i="21"/>
  <c r="Y168" i="21" s="1"/>
  <c r="X167" i="21"/>
  <c r="Y167" i="21" s="1"/>
  <c r="Y166" i="21"/>
  <c r="X166" i="21"/>
  <c r="X165" i="21"/>
  <c r="Y165" i="21" s="1"/>
  <c r="Y164" i="21"/>
  <c r="X164" i="21"/>
  <c r="X163" i="21"/>
  <c r="Y163" i="21" s="1"/>
  <c r="X162" i="21"/>
  <c r="Y162" i="21" s="1"/>
  <c r="Y161" i="21"/>
  <c r="X161" i="21"/>
  <c r="Y160" i="21"/>
  <c r="X160" i="21"/>
  <c r="Y159" i="21"/>
  <c r="X159" i="21"/>
  <c r="Y158" i="21"/>
  <c r="X158" i="21"/>
  <c r="X157" i="21"/>
  <c r="Y157" i="21" s="1"/>
  <c r="Y156" i="21"/>
  <c r="X156" i="21"/>
  <c r="X155" i="21"/>
  <c r="Y155" i="21" s="1"/>
  <c r="X154" i="21"/>
  <c r="Y154" i="21" s="1"/>
  <c r="Y153" i="21"/>
  <c r="X153" i="21"/>
  <c r="Y152" i="21"/>
  <c r="X152" i="21"/>
  <c r="X151" i="21"/>
  <c r="Y151" i="21" s="1"/>
  <c r="X150" i="21"/>
  <c r="Y150" i="21" s="1"/>
  <c r="Y149" i="21"/>
  <c r="X149" i="21"/>
  <c r="X148" i="21"/>
  <c r="Y148" i="21" s="1"/>
  <c r="X147" i="21"/>
  <c r="Y147" i="21" s="1"/>
  <c r="X146" i="21"/>
  <c r="Y146" i="21" s="1"/>
  <c r="Y145" i="21"/>
  <c r="X145" i="21"/>
  <c r="Y144" i="21"/>
  <c r="X144" i="21"/>
  <c r="X143" i="21"/>
  <c r="Y143" i="21" s="1"/>
  <c r="X142" i="21"/>
  <c r="Y142" i="21" s="1"/>
  <c r="Y141" i="21"/>
  <c r="X141" i="21"/>
  <c r="Y140" i="21"/>
  <c r="X140" i="21"/>
  <c r="Y139" i="21"/>
  <c r="X139" i="21"/>
  <c r="X138" i="21"/>
  <c r="Y138" i="21" s="1"/>
  <c r="Y137" i="21"/>
  <c r="X137" i="21"/>
  <c r="X136" i="21"/>
  <c r="Y136" i="21" s="1"/>
  <c r="X135" i="21"/>
  <c r="Y135" i="21" s="1"/>
  <c r="X134" i="21"/>
  <c r="Y134" i="21" s="1"/>
  <c r="Y133" i="21"/>
  <c r="X133" i="21"/>
  <c r="X132" i="21"/>
  <c r="Y132" i="21" s="1"/>
  <c r="X131" i="21"/>
  <c r="Y131" i="21" s="1"/>
  <c r="Y130" i="21"/>
  <c r="X130" i="21"/>
  <c r="X129" i="21"/>
  <c r="Y129" i="21" s="1"/>
  <c r="X128" i="21"/>
  <c r="Y128" i="21" s="1"/>
  <c r="X127" i="21"/>
  <c r="Y127" i="21" s="1"/>
  <c r="Y126" i="21"/>
  <c r="X126" i="21"/>
  <c r="Y125" i="21"/>
  <c r="X125" i="21"/>
  <c r="X124" i="21"/>
  <c r="Y124" i="21" s="1"/>
  <c r="Y123" i="21"/>
  <c r="X123" i="21"/>
  <c r="X122" i="21"/>
  <c r="Y122" i="21" s="1"/>
  <c r="Y121" i="21"/>
  <c r="X121" i="21"/>
  <c r="X120" i="21"/>
  <c r="Y120" i="21" s="1"/>
  <c r="Y119" i="21"/>
  <c r="X119" i="21"/>
  <c r="X116" i="21"/>
  <c r="Y116" i="21" s="1"/>
  <c r="Y115" i="21"/>
  <c r="X115" i="21"/>
  <c r="X114" i="21"/>
  <c r="Y114" i="21" s="1"/>
  <c r="Y113" i="21"/>
  <c r="X113" i="21"/>
  <c r="X112" i="21"/>
  <c r="Y112" i="21" s="1"/>
  <c r="Y111" i="21"/>
  <c r="X111" i="21"/>
  <c r="X110" i="21"/>
  <c r="Y110" i="21" s="1"/>
  <c r="Y109" i="21"/>
  <c r="X109" i="21"/>
  <c r="Y108" i="21"/>
  <c r="X108" i="21"/>
  <c r="X107" i="21"/>
  <c r="Y107" i="21" s="1"/>
  <c r="X106" i="21"/>
  <c r="Y106" i="21" s="1"/>
  <c r="X105" i="21"/>
  <c r="Y105" i="21" s="1"/>
  <c r="X104" i="21"/>
  <c r="Y104" i="21" s="1"/>
  <c r="X103" i="21"/>
  <c r="Y103" i="21" s="1"/>
  <c r="Y101" i="21"/>
  <c r="X101" i="21"/>
  <c r="X100" i="21"/>
  <c r="Y100" i="21" s="1"/>
  <c r="Y99" i="21"/>
  <c r="X99" i="21"/>
  <c r="X98" i="21"/>
  <c r="Y98" i="21" s="1"/>
  <c r="Y97" i="21"/>
  <c r="X97" i="21"/>
  <c r="Y96" i="21"/>
  <c r="X96" i="21"/>
  <c r="Y95" i="21"/>
  <c r="X95" i="21"/>
  <c r="Y94" i="21"/>
  <c r="X94" i="21"/>
  <c r="X93" i="21"/>
  <c r="Y93" i="21" s="1"/>
  <c r="Y92" i="21"/>
  <c r="X92" i="21"/>
  <c r="X91" i="21"/>
  <c r="Y91" i="21" s="1"/>
  <c r="Y90" i="21"/>
  <c r="X90" i="21"/>
  <c r="X89" i="21"/>
  <c r="Y89" i="21" s="1"/>
  <c r="Y88" i="21"/>
  <c r="X88" i="21"/>
  <c r="X87" i="21"/>
  <c r="Y87" i="21" s="1"/>
  <c r="X86" i="21"/>
  <c r="Y86" i="21" s="1"/>
  <c r="Y85" i="21"/>
  <c r="X85" i="21"/>
  <c r="Y84" i="21"/>
  <c r="X84" i="21"/>
  <c r="X83" i="21"/>
  <c r="Y83" i="21" s="1"/>
  <c r="Y82" i="21"/>
  <c r="X82" i="21"/>
  <c r="Y81" i="21"/>
  <c r="X81" i="21"/>
  <c r="X80" i="21"/>
  <c r="Y80" i="21" s="1"/>
  <c r="Y79" i="21"/>
  <c r="X79" i="21"/>
  <c r="X78" i="21"/>
  <c r="Y78" i="21" s="1"/>
  <c r="Y77" i="21"/>
  <c r="X77" i="21"/>
  <c r="X76" i="21"/>
  <c r="Y76" i="21" s="1"/>
  <c r="Y75" i="21"/>
  <c r="X75" i="21"/>
  <c r="X74" i="21"/>
  <c r="Y74" i="21" s="1"/>
  <c r="Y73" i="21"/>
  <c r="X73" i="21"/>
  <c r="X72" i="21"/>
  <c r="Y72" i="21" s="1"/>
  <c r="Y71" i="21"/>
  <c r="X71" i="21"/>
  <c r="Y70" i="21"/>
  <c r="X70" i="21"/>
  <c r="Y69" i="21"/>
  <c r="X69" i="21"/>
  <c r="Y68" i="21"/>
  <c r="X68" i="21"/>
  <c r="X67" i="21"/>
  <c r="Y67" i="21" s="1"/>
  <c r="Y66" i="21"/>
  <c r="X66" i="21"/>
  <c r="X65" i="21"/>
  <c r="Y65" i="21" s="1"/>
  <c r="X64" i="21"/>
  <c r="Y64" i="21" s="1"/>
  <c r="Y63" i="21"/>
  <c r="X63" i="21"/>
  <c r="X62" i="21"/>
  <c r="Y62" i="21" s="1"/>
  <c r="Y61" i="21"/>
  <c r="X61" i="21"/>
  <c r="X60" i="21"/>
  <c r="Y60" i="21" s="1"/>
  <c r="X59" i="21"/>
  <c r="Y59" i="21" s="1"/>
  <c r="Y58" i="21"/>
  <c r="X58" i="21"/>
  <c r="Y57" i="21"/>
  <c r="X57" i="21"/>
  <c r="X56" i="21"/>
  <c r="Y56" i="21" s="1"/>
  <c r="Y55" i="21"/>
  <c r="X55" i="21"/>
  <c r="X54" i="21"/>
  <c r="Y54" i="21" s="1"/>
  <c r="Y53" i="21"/>
  <c r="X53" i="21"/>
  <c r="X52" i="21"/>
  <c r="Y52" i="21" s="1"/>
  <c r="Y51" i="21"/>
  <c r="X51" i="21"/>
  <c r="X50" i="21"/>
  <c r="Y50" i="21" s="1"/>
  <c r="Y49" i="21"/>
  <c r="X49" i="21"/>
  <c r="Y48" i="21"/>
  <c r="X48" i="21"/>
  <c r="X47" i="21"/>
  <c r="Y47" i="21" s="1"/>
  <c r="Y46" i="21"/>
  <c r="X46" i="21"/>
  <c r="X45" i="21"/>
  <c r="Y45" i="21" s="1"/>
  <c r="Y44" i="21"/>
  <c r="X44" i="21"/>
  <c r="X43" i="21"/>
  <c r="Y43" i="21" s="1"/>
  <c r="Y42" i="21"/>
  <c r="X42" i="21"/>
  <c r="X41" i="21"/>
  <c r="Y41" i="21" s="1"/>
  <c r="X40" i="21"/>
  <c r="Y40" i="21" s="1"/>
  <c r="Y39" i="21"/>
  <c r="X39" i="21"/>
  <c r="X38" i="21"/>
  <c r="Y38" i="21" s="1"/>
  <c r="X37" i="21"/>
  <c r="Y37" i="21" s="1"/>
  <c r="Y36" i="21"/>
  <c r="X36" i="21"/>
  <c r="X35" i="21"/>
  <c r="Y35" i="21" s="1"/>
  <c r="Y34" i="21"/>
  <c r="X34" i="21"/>
  <c r="Y33" i="21"/>
  <c r="X33" i="21"/>
  <c r="X32" i="21"/>
  <c r="Y32" i="21" s="1"/>
  <c r="Y31" i="21"/>
  <c r="X31" i="21"/>
  <c r="X30" i="21"/>
  <c r="Y30" i="21" s="1"/>
  <c r="Y29" i="21"/>
  <c r="X29" i="21"/>
  <c r="X28" i="21"/>
  <c r="Y28" i="21" s="1"/>
  <c r="X27" i="21"/>
  <c r="Y27" i="21" s="1"/>
  <c r="X26" i="21"/>
  <c r="Y26" i="21" s="1"/>
  <c r="X25" i="21"/>
  <c r="Y25" i="21" s="1"/>
  <c r="Y24" i="21"/>
  <c r="X24" i="21"/>
  <c r="X23" i="21"/>
  <c r="Y23" i="21" s="1"/>
  <c r="Y22" i="21"/>
  <c r="X22" i="21"/>
  <c r="X21" i="21"/>
  <c r="Y21" i="21" s="1"/>
  <c r="Y20" i="21"/>
  <c r="X20" i="21"/>
  <c r="X19" i="21"/>
  <c r="Y19" i="21" s="1"/>
  <c r="Y18" i="21"/>
  <c r="X18" i="21"/>
  <c r="Y17" i="21"/>
  <c r="X17" i="21"/>
  <c r="X16" i="21"/>
  <c r="Y16" i="21" s="1"/>
  <c r="Y15" i="21"/>
  <c r="X15" i="21"/>
  <c r="Y14" i="21"/>
  <c r="X14" i="21"/>
  <c r="X12" i="21"/>
  <c r="Y12" i="21" s="1"/>
  <c r="X11" i="21"/>
  <c r="Y11" i="21" s="1"/>
  <c r="X10" i="21"/>
  <c r="Y10" i="21" s="1"/>
  <c r="X9" i="21"/>
  <c r="Y9" i="21" s="1"/>
  <c r="X8" i="21"/>
  <c r="Y8" i="21" s="1"/>
  <c r="V8" i="21"/>
  <c r="X3" i="21"/>
  <c r="X2" i="21"/>
  <c r="W1086" i="21"/>
  <c r="W1085" i="21"/>
  <c r="W1084" i="21"/>
  <c r="W1083" i="21"/>
  <c r="W1082" i="21"/>
  <c r="W1081" i="21"/>
  <c r="W1080" i="21"/>
  <c r="W1079" i="21"/>
  <c r="W1078" i="21"/>
  <c r="W1077" i="21"/>
  <c r="W1076" i="21"/>
  <c r="W1075" i="21"/>
  <c r="W1074" i="21"/>
  <c r="W1073" i="21"/>
  <c r="W1072" i="21"/>
  <c r="W1071" i="21"/>
  <c r="W1070" i="21"/>
  <c r="W1069" i="21"/>
  <c r="W1068" i="21"/>
  <c r="W1067" i="21"/>
  <c r="W1066" i="21"/>
  <c r="W1065" i="21"/>
  <c r="W1064" i="21"/>
  <c r="W1063" i="21"/>
  <c r="W1062" i="21"/>
  <c r="W1061" i="21"/>
  <c r="W1060" i="21"/>
  <c r="W1059" i="21"/>
  <c r="W1058" i="21"/>
  <c r="W1057" i="21"/>
  <c r="W1056" i="21"/>
  <c r="W1055" i="21"/>
  <c r="W1054" i="21"/>
  <c r="W1053" i="21"/>
  <c r="W1052" i="21"/>
  <c r="W1051" i="21"/>
  <c r="W1050" i="21"/>
  <c r="W1049" i="21"/>
  <c r="W1047" i="21"/>
  <c r="W1046" i="21"/>
  <c r="W1045" i="21"/>
  <c r="W1044" i="21"/>
  <c r="W1043" i="21"/>
  <c r="W1042" i="21"/>
  <c r="W1041" i="21"/>
  <c r="W1040" i="21"/>
  <c r="W1039" i="21"/>
  <c r="W1038" i="21"/>
  <c r="W1037" i="21"/>
  <c r="W1036" i="21"/>
  <c r="W1035" i="21"/>
  <c r="W1034" i="21"/>
  <c r="W1033" i="21"/>
  <c r="W1032" i="21"/>
  <c r="W1031" i="21"/>
  <c r="W1030" i="21"/>
  <c r="W1027" i="21"/>
  <c r="W1026" i="21"/>
  <c r="W1025" i="21"/>
  <c r="W1024" i="21"/>
  <c r="W1023" i="21"/>
  <c r="W1022" i="21"/>
  <c r="W1021" i="21"/>
  <c r="W1020" i="21"/>
  <c r="W1019" i="21"/>
  <c r="W1018" i="21"/>
  <c r="W1017" i="21"/>
  <c r="W1016" i="21"/>
  <c r="W1015" i="21"/>
  <c r="W1014" i="21"/>
  <c r="W1013" i="21"/>
  <c r="W1012" i="21"/>
  <c r="W1011" i="21"/>
  <c r="W1010" i="21"/>
  <c r="W1009" i="21"/>
  <c r="W1008" i="21"/>
  <c r="W1007" i="21"/>
  <c r="W1006" i="21"/>
  <c r="W1005" i="21"/>
  <c r="W1004" i="21"/>
  <c r="W1003" i="21"/>
  <c r="W1002" i="21"/>
  <c r="W1001" i="21"/>
  <c r="W1000" i="21"/>
  <c r="W999" i="21"/>
  <c r="W998" i="21"/>
  <c r="W997" i="21"/>
  <c r="W996" i="21"/>
  <c r="W995" i="21"/>
  <c r="W994" i="21"/>
  <c r="W992" i="21"/>
  <c r="W991" i="21"/>
  <c r="W990" i="21"/>
  <c r="W989" i="21"/>
  <c r="W988" i="21"/>
  <c r="W987" i="21"/>
  <c r="W986" i="21"/>
  <c r="W985" i="21"/>
  <c r="W984" i="21"/>
  <c r="W983" i="21"/>
  <c r="W982" i="21"/>
  <c r="W981" i="21"/>
  <c r="W980" i="21"/>
  <c r="W979" i="21"/>
  <c r="W978" i="21"/>
  <c r="W977" i="21"/>
  <c r="W976" i="21"/>
  <c r="W975" i="21"/>
  <c r="W974" i="21"/>
  <c r="W973" i="21"/>
  <c r="W972" i="21"/>
  <c r="W971" i="21"/>
  <c r="W970" i="21"/>
  <c r="W969" i="21"/>
  <c r="W968" i="21"/>
  <c r="W967" i="21"/>
  <c r="W966" i="21"/>
  <c r="W965" i="21"/>
  <c r="W964" i="21"/>
  <c r="W963" i="21"/>
  <c r="W962" i="21"/>
  <c r="W961" i="21"/>
  <c r="W960" i="21"/>
  <c r="W959" i="21"/>
  <c r="W958" i="21"/>
  <c r="W957" i="21"/>
  <c r="W956" i="21"/>
  <c r="W955" i="21"/>
  <c r="W954" i="21"/>
  <c r="W953" i="21"/>
  <c r="W952" i="21"/>
  <c r="W951" i="21"/>
  <c r="W950" i="21"/>
  <c r="W949" i="21"/>
  <c r="W948" i="21"/>
  <c r="W947" i="21"/>
  <c r="W946" i="21"/>
  <c r="W945" i="21"/>
  <c r="W944" i="21"/>
  <c r="W943" i="21"/>
  <c r="W942" i="21"/>
  <c r="W941" i="21"/>
  <c r="W940" i="21"/>
  <c r="W939" i="21"/>
  <c r="W938" i="21"/>
  <c r="W937" i="21"/>
  <c r="W936" i="21"/>
  <c r="W935" i="21"/>
  <c r="W934" i="21"/>
  <c r="W933" i="21"/>
  <c r="W930" i="21"/>
  <c r="W929" i="21"/>
  <c r="W928" i="21"/>
  <c r="W925" i="21"/>
  <c r="W924" i="21"/>
  <c r="W923" i="21"/>
  <c r="W920" i="21"/>
  <c r="W919" i="21"/>
  <c r="W918" i="21"/>
  <c r="W917" i="21"/>
  <c r="W916" i="21"/>
  <c r="W915" i="21"/>
  <c r="W914" i="21"/>
  <c r="W913" i="21"/>
  <c r="W912" i="21"/>
  <c r="W911" i="21"/>
  <c r="W910" i="21"/>
  <c r="W909" i="21"/>
  <c r="W908" i="21"/>
  <c r="W907" i="21"/>
  <c r="W906" i="21"/>
  <c r="W905" i="21"/>
  <c r="W904" i="21"/>
  <c r="W903" i="21"/>
  <c r="W902" i="21"/>
  <c r="W901" i="21"/>
  <c r="W900" i="21"/>
  <c r="W899" i="21"/>
  <c r="W898" i="21"/>
  <c r="W897" i="21"/>
  <c r="W896" i="21"/>
  <c r="W894" i="21"/>
  <c r="W893" i="21"/>
  <c r="W892" i="21"/>
  <c r="W891" i="21"/>
  <c r="W890" i="21"/>
  <c r="W889" i="21"/>
  <c r="W888" i="21"/>
  <c r="W887" i="21"/>
  <c r="W886" i="21"/>
  <c r="W885" i="21"/>
  <c r="W884" i="21"/>
  <c r="W882" i="21"/>
  <c r="W881" i="21"/>
  <c r="W880" i="21"/>
  <c r="W879" i="21"/>
  <c r="W878" i="21"/>
  <c r="W877" i="21"/>
  <c r="W876" i="21"/>
  <c r="W875" i="21"/>
  <c r="W874" i="21"/>
  <c r="W873" i="21"/>
  <c r="W872" i="21"/>
  <c r="W871" i="21"/>
  <c r="W870" i="21"/>
  <c r="W869" i="21"/>
  <c r="W868" i="21"/>
  <c r="W867" i="21"/>
  <c r="W866" i="21"/>
  <c r="W865" i="21"/>
  <c r="W864" i="21"/>
  <c r="W863" i="21"/>
  <c r="W862" i="21"/>
  <c r="W858" i="21"/>
  <c r="W857" i="21"/>
  <c r="W856" i="21"/>
  <c r="W855" i="21"/>
  <c r="W854" i="21"/>
  <c r="W853" i="21"/>
  <c r="W846" i="21"/>
  <c r="W837" i="21"/>
  <c r="W836" i="21"/>
  <c r="W835" i="21"/>
  <c r="W834" i="21"/>
  <c r="W833" i="21"/>
  <c r="W832" i="21"/>
  <c r="W831" i="21"/>
  <c r="W830" i="21"/>
  <c r="W829" i="21"/>
  <c r="W828" i="21"/>
  <c r="W827" i="21"/>
  <c r="W826" i="21"/>
  <c r="W825" i="21"/>
  <c r="W824" i="21"/>
  <c r="W823" i="21"/>
  <c r="W822" i="21"/>
  <c r="W821" i="21"/>
  <c r="W820" i="21"/>
  <c r="W819" i="21"/>
  <c r="W818" i="21"/>
  <c r="W817" i="21"/>
  <c r="W816" i="21"/>
  <c r="W815" i="21"/>
  <c r="W814" i="21"/>
  <c r="W813" i="21"/>
  <c r="W812" i="21"/>
  <c r="W811" i="21"/>
  <c r="W810" i="21"/>
  <c r="W809" i="21"/>
  <c r="W808" i="21"/>
  <c r="W807" i="21"/>
  <c r="W806" i="21"/>
  <c r="W805" i="21"/>
  <c r="W804" i="21"/>
  <c r="W803" i="21"/>
  <c r="W802" i="21"/>
  <c r="W801" i="21"/>
  <c r="W800" i="21"/>
  <c r="W799" i="21"/>
  <c r="W798" i="21"/>
  <c r="W797" i="21"/>
  <c r="W796" i="21"/>
  <c r="W795" i="21"/>
  <c r="W794" i="21"/>
  <c r="W793" i="21"/>
  <c r="W792" i="21"/>
  <c r="W791" i="21"/>
  <c r="W790" i="21"/>
  <c r="W789" i="21"/>
  <c r="W788" i="21"/>
  <c r="W787" i="21"/>
  <c r="W786" i="21"/>
  <c r="W785" i="21"/>
  <c r="W784" i="21"/>
  <c r="W783" i="21"/>
  <c r="W782" i="21"/>
  <c r="W780" i="21"/>
  <c r="W779" i="21"/>
  <c r="W778" i="21"/>
  <c r="W777" i="21"/>
  <c r="W776" i="21"/>
  <c r="W775" i="21"/>
  <c r="W774" i="21"/>
  <c r="W773" i="21"/>
  <c r="W772" i="21"/>
  <c r="W771" i="21"/>
  <c r="W770" i="21"/>
  <c r="W769" i="21"/>
  <c r="W768" i="21"/>
  <c r="W767" i="21"/>
  <c r="W766" i="21"/>
  <c r="W765" i="21"/>
  <c r="W764" i="21"/>
  <c r="W763" i="21"/>
  <c r="W762" i="21"/>
  <c r="W761" i="21"/>
  <c r="W760" i="21"/>
  <c r="W759" i="21"/>
  <c r="W758" i="21"/>
  <c r="W757" i="21"/>
  <c r="W756" i="21"/>
  <c r="W755" i="21"/>
  <c r="W754" i="21"/>
  <c r="W753" i="21"/>
  <c r="W751" i="21"/>
  <c r="W750" i="21"/>
  <c r="W748" i="21"/>
  <c r="W747" i="21"/>
  <c r="W746" i="21"/>
  <c r="W745" i="21"/>
  <c r="W743" i="21"/>
  <c r="W741" i="21"/>
  <c r="W740" i="21"/>
  <c r="W738" i="21"/>
  <c r="W737" i="21"/>
  <c r="W736" i="21"/>
  <c r="W735" i="21"/>
  <c r="W734" i="21"/>
  <c r="W733" i="21"/>
  <c r="W732" i="21"/>
  <c r="W729" i="21"/>
  <c r="W728" i="21"/>
  <c r="W727" i="21"/>
  <c r="W726" i="21"/>
  <c r="W725" i="21"/>
  <c r="W724" i="21"/>
  <c r="W723" i="21"/>
  <c r="W722" i="21"/>
  <c r="W721" i="21"/>
  <c r="W720" i="21"/>
  <c r="W719" i="21"/>
  <c r="W718" i="21"/>
  <c r="W717" i="21"/>
  <c r="W716" i="21"/>
  <c r="W715" i="21"/>
  <c r="W714" i="21"/>
  <c r="W713" i="21"/>
  <c r="W712" i="21"/>
  <c r="W711" i="21"/>
  <c r="W710" i="21"/>
  <c r="W709" i="21"/>
  <c r="W708" i="21"/>
  <c r="W701" i="21"/>
  <c r="W692" i="21"/>
  <c r="W691" i="21"/>
  <c r="W690" i="21"/>
  <c r="W689" i="21"/>
  <c r="W688" i="21"/>
  <c r="W687" i="21"/>
  <c r="W686" i="21"/>
  <c r="W685" i="21"/>
  <c r="W684" i="21"/>
  <c r="W683" i="21"/>
  <c r="W682" i="21"/>
  <c r="W681" i="21"/>
  <c r="W680" i="21"/>
  <c r="W679" i="21"/>
  <c r="W678" i="21"/>
  <c r="W677" i="21"/>
  <c r="W676" i="21"/>
  <c r="W675" i="21"/>
  <c r="W674" i="21"/>
  <c r="W673" i="21"/>
  <c r="W672" i="21"/>
  <c r="W671" i="21"/>
  <c r="W670" i="21"/>
  <c r="W669" i="21"/>
  <c r="W668" i="21"/>
  <c r="W667" i="21"/>
  <c r="W666" i="21"/>
  <c r="W665" i="21"/>
  <c r="W664" i="21"/>
  <c r="W663" i="21"/>
  <c r="W662" i="21"/>
  <c r="W661" i="21"/>
  <c r="W660" i="21"/>
  <c r="W659" i="21"/>
  <c r="W658" i="21"/>
  <c r="W657" i="21"/>
  <c r="W656" i="21"/>
  <c r="W655" i="21"/>
  <c r="W654" i="21"/>
  <c r="W653" i="21"/>
  <c r="W652" i="21"/>
  <c r="W651" i="21"/>
  <c r="W650" i="21"/>
  <c r="W649" i="21"/>
  <c r="W648" i="21"/>
  <c r="W647" i="21"/>
  <c r="W646" i="21"/>
  <c r="W645" i="21"/>
  <c r="W644" i="21"/>
  <c r="W643" i="21"/>
  <c r="W642" i="21"/>
  <c r="W641" i="21"/>
  <c r="W640" i="21"/>
  <c r="W639" i="21"/>
  <c r="W638" i="21"/>
  <c r="W637" i="21"/>
  <c r="W636" i="21"/>
  <c r="W635" i="21"/>
  <c r="W634" i="21"/>
  <c r="W633" i="21"/>
  <c r="W632" i="21"/>
  <c r="W631" i="21"/>
  <c r="W630" i="21"/>
  <c r="W629" i="21"/>
  <c r="W628" i="21"/>
  <c r="W627" i="21"/>
  <c r="W626" i="21"/>
  <c r="W625" i="21"/>
  <c r="W624" i="21"/>
  <c r="W623" i="21"/>
  <c r="W622" i="21"/>
  <c r="W621" i="21"/>
  <c r="W620" i="21"/>
  <c r="W619" i="21"/>
  <c r="W618" i="21"/>
  <c r="W617" i="21"/>
  <c r="W616" i="21"/>
  <c r="W615" i="21"/>
  <c r="W614" i="21"/>
  <c r="W613" i="21"/>
  <c r="W612" i="21"/>
  <c r="W611" i="21"/>
  <c r="W610" i="21"/>
  <c r="W609" i="21"/>
  <c r="W608" i="21"/>
  <c r="W607" i="21"/>
  <c r="W606" i="21"/>
  <c r="W605" i="21"/>
  <c r="W604" i="21"/>
  <c r="W603" i="21"/>
  <c r="W602" i="21"/>
  <c r="W601" i="21"/>
  <c r="W600" i="21"/>
  <c r="W599" i="21"/>
  <c r="W598" i="21"/>
  <c r="W597" i="21"/>
  <c r="W596" i="21"/>
  <c r="W595" i="21"/>
  <c r="W594" i="21"/>
  <c r="W593" i="21"/>
  <c r="W592" i="21"/>
  <c r="W591" i="21"/>
  <c r="W590" i="21"/>
  <c r="W589" i="21"/>
  <c r="W588" i="21"/>
  <c r="W587" i="21"/>
  <c r="W586" i="21"/>
  <c r="W585" i="21"/>
  <c r="W584" i="21"/>
  <c r="W583" i="21"/>
  <c r="W582" i="21"/>
  <c r="W581" i="21"/>
  <c r="W580" i="21"/>
  <c r="W579" i="21"/>
  <c r="W578" i="21"/>
  <c r="W577" i="21"/>
  <c r="W576" i="21"/>
  <c r="W575" i="21"/>
  <c r="W574" i="21"/>
  <c r="W573" i="21"/>
  <c r="W572" i="21"/>
  <c r="W571" i="21"/>
  <c r="W570" i="21"/>
  <c r="W569" i="21"/>
  <c r="W568" i="21"/>
  <c r="W567" i="21"/>
  <c r="W566" i="21"/>
  <c r="W565" i="21"/>
  <c r="W564" i="21"/>
  <c r="W563" i="21"/>
  <c r="W562" i="21"/>
  <c r="W561" i="21"/>
  <c r="W560" i="21"/>
  <c r="W559" i="21"/>
  <c r="W558" i="21"/>
  <c r="W557" i="21"/>
  <c r="W556" i="21"/>
  <c r="W555" i="21"/>
  <c r="W554" i="21"/>
  <c r="W553" i="21"/>
  <c r="W552" i="21"/>
  <c r="W551" i="21"/>
  <c r="W550" i="21"/>
  <c r="W549" i="21"/>
  <c r="W548" i="21"/>
  <c r="W547" i="21"/>
  <c r="W546" i="21"/>
  <c r="W545" i="21"/>
  <c r="W544" i="21"/>
  <c r="W543" i="21"/>
  <c r="W542" i="21"/>
  <c r="W541" i="21"/>
  <c r="W540" i="21"/>
  <c r="W539" i="21"/>
  <c r="W538" i="21"/>
  <c r="W537" i="21"/>
  <c r="W536" i="21"/>
  <c r="W535" i="21"/>
  <c r="W534" i="21"/>
  <c r="W533" i="21"/>
  <c r="W532" i="21"/>
  <c r="W531" i="21"/>
  <c r="W530" i="21"/>
  <c r="W529" i="21"/>
  <c r="W528" i="21"/>
  <c r="W527" i="21"/>
  <c r="W526" i="21"/>
  <c r="W525" i="21"/>
  <c r="W524" i="21"/>
  <c r="W523" i="21"/>
  <c r="W522" i="21"/>
  <c r="W521" i="21"/>
  <c r="W520" i="21"/>
  <c r="W519" i="21"/>
  <c r="W518" i="21"/>
  <c r="W517" i="21"/>
  <c r="W516" i="21"/>
  <c r="W515" i="21"/>
  <c r="W514" i="21"/>
  <c r="W513" i="21"/>
  <c r="W512" i="21"/>
  <c r="W511" i="21"/>
  <c r="W510" i="21"/>
  <c r="W509" i="21"/>
  <c r="W508" i="21"/>
  <c r="W507" i="21"/>
  <c r="W506" i="21"/>
  <c r="W505" i="21"/>
  <c r="W504" i="21"/>
  <c r="W503" i="21"/>
  <c r="W502" i="21"/>
  <c r="W501" i="21"/>
  <c r="W500" i="21"/>
  <c r="W499" i="21"/>
  <c r="W498" i="21"/>
  <c r="W497" i="21"/>
  <c r="W496" i="21"/>
  <c r="W495" i="21"/>
  <c r="W494" i="21"/>
  <c r="W493" i="21"/>
  <c r="W492" i="21"/>
  <c r="W491" i="21"/>
  <c r="W490" i="21"/>
  <c r="W489" i="21"/>
  <c r="W488" i="21"/>
  <c r="W487" i="21"/>
  <c r="W486" i="21"/>
  <c r="W485" i="21"/>
  <c r="W484" i="21"/>
  <c r="W483" i="21"/>
  <c r="W482" i="21"/>
  <c r="W481" i="21"/>
  <c r="W480" i="21"/>
  <c r="W479" i="21"/>
  <c r="W478" i="21"/>
  <c r="W477" i="21"/>
  <c r="W476" i="21"/>
  <c r="W475" i="21"/>
  <c r="W474" i="21"/>
  <c r="W473" i="21"/>
  <c r="W472" i="21"/>
  <c r="W471" i="21"/>
  <c r="W470" i="21"/>
  <c r="W469" i="21"/>
  <c r="W468" i="21"/>
  <c r="W467" i="21"/>
  <c r="W466" i="21"/>
  <c r="W465" i="21"/>
  <c r="W464" i="21"/>
  <c r="W463" i="21"/>
  <c r="W462" i="21"/>
  <c r="W461" i="21"/>
  <c r="W460" i="21"/>
  <c r="W459" i="21"/>
  <c r="W458" i="21"/>
  <c r="W457" i="21"/>
  <c r="W456" i="21"/>
  <c r="W455" i="21"/>
  <c r="W454" i="21"/>
  <c r="W453" i="21"/>
  <c r="W452" i="21"/>
  <c r="W451" i="21"/>
  <c r="W450" i="21"/>
  <c r="W449" i="21"/>
  <c r="W448" i="21"/>
  <c r="W447" i="21"/>
  <c r="W446" i="21"/>
  <c r="W445" i="21"/>
  <c r="W444" i="21"/>
  <c r="W443" i="21"/>
  <c r="W442" i="21"/>
  <c r="W441" i="21"/>
  <c r="W440" i="21"/>
  <c r="W439" i="21"/>
  <c r="W438" i="21"/>
  <c r="W437" i="21"/>
  <c r="W436" i="21"/>
  <c r="W435" i="21"/>
  <c r="W434" i="21"/>
  <c r="W433" i="21"/>
  <c r="W432" i="21"/>
  <c r="W431" i="21"/>
  <c r="W430" i="21"/>
  <c r="W429" i="21"/>
  <c r="W428" i="21"/>
  <c r="W427" i="21"/>
  <c r="W426" i="21"/>
  <c r="W425" i="21"/>
  <c r="W424" i="21"/>
  <c r="W423" i="21"/>
  <c r="W422" i="21"/>
  <c r="W421" i="21"/>
  <c r="W420" i="21"/>
  <c r="W419" i="21"/>
  <c r="W418" i="21"/>
  <c r="W417" i="21"/>
  <c r="W416" i="21"/>
  <c r="W415" i="21"/>
  <c r="W414" i="21"/>
  <c r="W413" i="21"/>
  <c r="W412" i="21"/>
  <c r="W411" i="21"/>
  <c r="W410" i="21"/>
  <c r="W409" i="21"/>
  <c r="W408" i="21"/>
  <c r="W407" i="21"/>
  <c r="W406" i="21"/>
  <c r="W405" i="21"/>
  <c r="W404" i="21"/>
  <c r="W403" i="21"/>
  <c r="W402" i="21"/>
  <c r="W401" i="21"/>
  <c r="W400" i="21"/>
  <c r="W399" i="21"/>
  <c r="W398" i="21"/>
  <c r="W397" i="21"/>
  <c r="W396" i="21"/>
  <c r="W395" i="21"/>
  <c r="W394" i="21"/>
  <c r="W393" i="21"/>
  <c r="W392" i="21"/>
  <c r="W391" i="21"/>
  <c r="W390" i="21"/>
  <c r="W389" i="21"/>
  <c r="W387" i="21"/>
  <c r="W386" i="21"/>
  <c r="W385" i="21"/>
  <c r="W384" i="21"/>
  <c r="W383" i="21"/>
  <c r="W382" i="21"/>
  <c r="W381" i="21"/>
  <c r="W380" i="21"/>
  <c r="W379" i="21"/>
  <c r="W378" i="21"/>
  <c r="W377" i="21"/>
  <c r="W376" i="21"/>
  <c r="W375" i="21"/>
  <c r="W374" i="21"/>
  <c r="W373" i="21"/>
  <c r="W372" i="21"/>
  <c r="W371" i="21"/>
  <c r="W370" i="21"/>
  <c r="W369" i="21"/>
  <c r="W368" i="21"/>
  <c r="W367" i="21"/>
  <c r="W366" i="21"/>
  <c r="W365" i="21"/>
  <c r="W364" i="21"/>
  <c r="W363" i="21"/>
  <c r="W362" i="21"/>
  <c r="W361" i="21"/>
  <c r="W360" i="21"/>
  <c r="W359" i="21"/>
  <c r="W358" i="21"/>
  <c r="W357" i="21"/>
  <c r="W356" i="21"/>
  <c r="W355" i="21"/>
  <c r="W354" i="21"/>
  <c r="W353" i="21"/>
  <c r="W352" i="21"/>
  <c r="W351" i="21"/>
  <c r="W350" i="21"/>
  <c r="W349" i="21"/>
  <c r="W348" i="21"/>
  <c r="W347" i="21"/>
  <c r="W346" i="21"/>
  <c r="W345" i="21"/>
  <c r="W344" i="21"/>
  <c r="W343" i="21"/>
  <c r="W342" i="21"/>
  <c r="W339" i="21"/>
  <c r="W338" i="21"/>
  <c r="W337" i="21"/>
  <c r="W336" i="21"/>
  <c r="W335" i="21"/>
  <c r="W334" i="21"/>
  <c r="W333" i="21"/>
  <c r="W332" i="21"/>
  <c r="W331" i="21"/>
  <c r="W330" i="21"/>
  <c r="W329" i="21"/>
  <c r="W328" i="21"/>
  <c r="W327" i="21"/>
  <c r="W326" i="21"/>
  <c r="W325" i="21"/>
  <c r="W324" i="21"/>
  <c r="W323" i="21"/>
  <c r="W322" i="21"/>
  <c r="W321" i="21"/>
  <c r="W320" i="21"/>
  <c r="W319" i="21"/>
  <c r="W318" i="21"/>
  <c r="W317" i="21"/>
  <c r="W316" i="21"/>
  <c r="W315" i="21"/>
  <c r="W314" i="21"/>
  <c r="W313" i="21"/>
  <c r="W312" i="21"/>
  <c r="W311" i="21"/>
  <c r="W310" i="21"/>
  <c r="W309" i="21"/>
  <c r="W308" i="21"/>
  <c r="W307" i="21"/>
  <c r="W306" i="21"/>
  <c r="W305" i="21"/>
  <c r="W304" i="21"/>
  <c r="W303" i="21"/>
  <c r="W302" i="21"/>
  <c r="W301" i="21"/>
  <c r="W300" i="21"/>
  <c r="W299" i="21"/>
  <c r="W298" i="21"/>
  <c r="W297" i="21"/>
  <c r="W296" i="21"/>
  <c r="W295" i="21"/>
  <c r="W294" i="21"/>
  <c r="W293" i="21"/>
  <c r="W292" i="21"/>
  <c r="W291" i="21"/>
  <c r="W290" i="21"/>
  <c r="W289" i="21"/>
  <c r="W288" i="21"/>
  <c r="W287" i="21"/>
  <c r="W286" i="21"/>
  <c r="W285" i="21"/>
  <c r="W284" i="21"/>
  <c r="W283" i="21"/>
  <c r="W282" i="21"/>
  <c r="W281" i="21"/>
  <c r="W280" i="21"/>
  <c r="W279" i="21"/>
  <c r="W278" i="21"/>
  <c r="W277" i="21"/>
  <c r="W276" i="21"/>
  <c r="W275" i="21"/>
  <c r="W274" i="21"/>
  <c r="W273" i="21"/>
  <c r="W272" i="21"/>
  <c r="W271" i="21"/>
  <c r="W270" i="21"/>
  <c r="W269" i="21"/>
  <c r="W268" i="21"/>
  <c r="W267" i="21"/>
  <c r="W266" i="21"/>
  <c r="W265" i="21"/>
  <c r="W264" i="21"/>
  <c r="W263" i="21"/>
  <c r="W262" i="21"/>
  <c r="W261" i="21"/>
  <c r="W260" i="21"/>
  <c r="W259" i="21"/>
  <c r="W258" i="21"/>
  <c r="W257" i="21"/>
  <c r="W256" i="21"/>
  <c r="W255" i="21"/>
  <c r="W254" i="21"/>
  <c r="W253" i="21"/>
  <c r="W252" i="21"/>
  <c r="W251" i="21"/>
  <c r="W250" i="21"/>
  <c r="W249" i="21"/>
  <c r="W248" i="21"/>
  <c r="W247" i="21"/>
  <c r="W244" i="21"/>
  <c r="W243" i="21"/>
  <c r="W242" i="21"/>
  <c r="W239" i="21"/>
  <c r="W238" i="21"/>
  <c r="W237" i="21"/>
  <c r="W236" i="21"/>
  <c r="W235" i="21"/>
  <c r="W234" i="21"/>
  <c r="W233" i="21"/>
  <c r="W232" i="21"/>
  <c r="W231" i="21"/>
  <c r="W230" i="21"/>
  <c r="W229" i="21"/>
  <c r="W228" i="21"/>
  <c r="W227" i="21"/>
  <c r="W226" i="21"/>
  <c r="W225" i="21"/>
  <c r="W224" i="21"/>
  <c r="W223" i="21"/>
  <c r="W222" i="21"/>
  <c r="W221" i="21"/>
  <c r="W220" i="21"/>
  <c r="W219" i="21"/>
  <c r="W218" i="21"/>
  <c r="W217" i="21"/>
  <c r="W216" i="21"/>
  <c r="W215" i="21"/>
  <c r="W214" i="21"/>
  <c r="W213" i="21"/>
  <c r="W212" i="21"/>
  <c r="W211" i="21"/>
  <c r="W210" i="21"/>
  <c r="W209" i="21"/>
  <c r="W208" i="21"/>
  <c r="W207" i="21"/>
  <c r="W206" i="21"/>
  <c r="W205" i="21"/>
  <c r="W204" i="21"/>
  <c r="W203" i="21"/>
  <c r="W202" i="21"/>
  <c r="W201" i="21"/>
  <c r="W200" i="21"/>
  <c r="W199" i="21"/>
  <c r="W198" i="21"/>
  <c r="W197" i="21"/>
  <c r="W196" i="21"/>
  <c r="W195" i="21"/>
  <c r="W194" i="21"/>
  <c r="W193" i="21"/>
  <c r="W192" i="21"/>
  <c r="W189" i="21"/>
  <c r="W188" i="21"/>
  <c r="W187" i="21"/>
  <c r="W175" i="21"/>
  <c r="W174" i="21"/>
  <c r="W173" i="21"/>
  <c r="W172" i="21"/>
  <c r="W171" i="21"/>
  <c r="W170" i="21"/>
  <c r="W169" i="21"/>
  <c r="W168" i="21"/>
  <c r="W167" i="21"/>
  <c r="W166" i="21"/>
  <c r="W165" i="21"/>
  <c r="W164" i="21"/>
  <c r="W163" i="21"/>
  <c r="W162" i="21"/>
  <c r="W161" i="21"/>
  <c r="W160" i="21"/>
  <c r="W159" i="21"/>
  <c r="W158" i="21"/>
  <c r="W157" i="21"/>
  <c r="W156" i="21"/>
  <c r="W155" i="21"/>
  <c r="W154" i="21"/>
  <c r="W153" i="21"/>
  <c r="W152" i="21"/>
  <c r="W151" i="21"/>
  <c r="W150" i="21"/>
  <c r="W149" i="21"/>
  <c r="W148" i="21"/>
  <c r="W147" i="21"/>
  <c r="W146" i="21"/>
  <c r="W145" i="21"/>
  <c r="W144" i="21"/>
  <c r="W143" i="21"/>
  <c r="W142" i="21"/>
  <c r="W141" i="21"/>
  <c r="W140" i="21"/>
  <c r="W139" i="21"/>
  <c r="W138" i="21"/>
  <c r="W137" i="21"/>
  <c r="W136" i="21"/>
  <c r="W135" i="21"/>
  <c r="W134" i="21"/>
  <c r="W133" i="21"/>
  <c r="W132" i="21"/>
  <c r="W131" i="21"/>
  <c r="W130" i="21"/>
  <c r="W129" i="21"/>
  <c r="W128" i="21"/>
  <c r="W127" i="21"/>
  <c r="W126" i="21"/>
  <c r="W125" i="21"/>
  <c r="W124" i="21"/>
  <c r="W123" i="21"/>
  <c r="W122" i="21"/>
  <c r="W121" i="21"/>
  <c r="W120" i="21"/>
  <c r="W119" i="21"/>
  <c r="W116" i="21"/>
  <c r="W115" i="21"/>
  <c r="W114" i="21"/>
  <c r="W113" i="21"/>
  <c r="W112" i="21"/>
  <c r="W111" i="21"/>
  <c r="W110" i="21"/>
  <c r="W109" i="21"/>
  <c r="W108" i="21"/>
  <c r="W107" i="21"/>
  <c r="W106" i="21"/>
  <c r="W105" i="21"/>
  <c r="W104" i="21"/>
  <c r="W103" i="21"/>
  <c r="W101" i="21"/>
  <c r="W100" i="21"/>
  <c r="W99" i="21"/>
  <c r="W98" i="21"/>
  <c r="W97" i="21"/>
  <c r="W96" i="21"/>
  <c r="W95" i="21"/>
  <c r="W94" i="21"/>
  <c r="W93" i="21"/>
  <c r="W92" i="21"/>
  <c r="W91" i="21"/>
  <c r="W90" i="21"/>
  <c r="W89" i="21"/>
  <c r="W88" i="21"/>
  <c r="W87" i="21"/>
  <c r="W86" i="21"/>
  <c r="W85" i="21"/>
  <c r="W84" i="21"/>
  <c r="W83" i="21"/>
  <c r="W82" i="21"/>
  <c r="W81" i="21"/>
  <c r="W80" i="21"/>
  <c r="W79" i="21"/>
  <c r="W78" i="21"/>
  <c r="W77" i="21"/>
  <c r="W76" i="21"/>
  <c r="W75" i="21"/>
  <c r="W74" i="21"/>
  <c r="W73" i="21"/>
  <c r="W72" i="21"/>
  <c r="W71" i="21"/>
  <c r="W70" i="21"/>
  <c r="W69" i="21"/>
  <c r="W68" i="21"/>
  <c r="W67" i="21"/>
  <c r="W66" i="21"/>
  <c r="W65" i="21"/>
  <c r="W64" i="21"/>
  <c r="W63" i="21"/>
  <c r="W62" i="21"/>
  <c r="W61" i="21"/>
  <c r="W60" i="21"/>
  <c r="W59" i="21"/>
  <c r="W58" i="21"/>
  <c r="W57" i="21"/>
  <c r="W56" i="21"/>
  <c r="W55" i="21"/>
  <c r="W54" i="21"/>
  <c r="W53" i="21"/>
  <c r="W52" i="21"/>
  <c r="W51" i="21"/>
  <c r="W50" i="21"/>
  <c r="W49" i="21"/>
  <c r="W48" i="21"/>
  <c r="W47" i="21"/>
  <c r="W46" i="21"/>
  <c r="W45" i="21"/>
  <c r="W44" i="21"/>
  <c r="W43" i="21"/>
  <c r="W42" i="21"/>
  <c r="W41" i="21"/>
  <c r="W40" i="21"/>
  <c r="W39" i="21"/>
  <c r="W38" i="21"/>
  <c r="W37" i="21"/>
  <c r="W36" i="21"/>
  <c r="W35" i="21"/>
  <c r="W34" i="21"/>
  <c r="W33" i="21"/>
  <c r="W32" i="21"/>
  <c r="W31" i="21"/>
  <c r="W30" i="21"/>
  <c r="W29" i="21"/>
  <c r="W28" i="21"/>
  <c r="W27" i="21"/>
  <c r="W26" i="21"/>
  <c r="W25" i="21"/>
  <c r="W24" i="21"/>
  <c r="W23" i="21"/>
  <c r="W22" i="21"/>
  <c r="W21" i="21"/>
  <c r="W20" i="21"/>
  <c r="W19" i="21"/>
  <c r="W18" i="21"/>
  <c r="W17" i="21"/>
  <c r="W16" i="21"/>
  <c r="W15" i="21"/>
  <c r="W14" i="21"/>
  <c r="W12" i="21"/>
  <c r="W11" i="21"/>
  <c r="W10" i="21"/>
  <c r="W9" i="21"/>
  <c r="V3" i="21"/>
  <c r="V2" i="21"/>
  <c r="T1086" i="21"/>
  <c r="U1086" i="21" s="1"/>
  <c r="T1085" i="21"/>
  <c r="U1085" i="21" s="1"/>
  <c r="T1084" i="21"/>
  <c r="U1084" i="21" s="1"/>
  <c r="T1083" i="21"/>
  <c r="U1083" i="21" s="1"/>
  <c r="T1082" i="21"/>
  <c r="U1082" i="21" s="1"/>
  <c r="U1081" i="21"/>
  <c r="T1081" i="21"/>
  <c r="U1080" i="21"/>
  <c r="T1080" i="21"/>
  <c r="U1079" i="21"/>
  <c r="T1079" i="21"/>
  <c r="T1078" i="21"/>
  <c r="U1078" i="21" s="1"/>
  <c r="T1077" i="21"/>
  <c r="U1077" i="21" s="1"/>
  <c r="U1076" i="21"/>
  <c r="T1076" i="21"/>
  <c r="U1075" i="21"/>
  <c r="T1075" i="21"/>
  <c r="U1074" i="21"/>
  <c r="T1074" i="21"/>
  <c r="U1073" i="21"/>
  <c r="T1073" i="21"/>
  <c r="T1072" i="21"/>
  <c r="U1072" i="21" s="1"/>
  <c r="T1071" i="21"/>
  <c r="U1071" i="21" s="1"/>
  <c r="T1070" i="21"/>
  <c r="U1070" i="21" s="1"/>
  <c r="T1069" i="21"/>
  <c r="U1069" i="21" s="1"/>
  <c r="T1068" i="21"/>
  <c r="U1068" i="21" s="1"/>
  <c r="T1067" i="21"/>
  <c r="U1067" i="21" s="1"/>
  <c r="U1066" i="21"/>
  <c r="T1066" i="21"/>
  <c r="U1065" i="21"/>
  <c r="T1065" i="21"/>
  <c r="U1064" i="21"/>
  <c r="T1064" i="21"/>
  <c r="U1063" i="21"/>
  <c r="T1063" i="21"/>
  <c r="U1062" i="21"/>
  <c r="T1062" i="21"/>
  <c r="U1061" i="21"/>
  <c r="T1061" i="21"/>
  <c r="U1060" i="21"/>
  <c r="T1060" i="21"/>
  <c r="U1059" i="21"/>
  <c r="T1059" i="21"/>
  <c r="T1058" i="21"/>
  <c r="U1058" i="21" s="1"/>
  <c r="U1057" i="21"/>
  <c r="T1057" i="21"/>
  <c r="U1056" i="21"/>
  <c r="T1056" i="21"/>
  <c r="U1055" i="21"/>
  <c r="T1055" i="21"/>
  <c r="U1054" i="21"/>
  <c r="T1054" i="21"/>
  <c r="U1053" i="21"/>
  <c r="T1053" i="21"/>
  <c r="U1052" i="21"/>
  <c r="T1052" i="21"/>
  <c r="U1051" i="21"/>
  <c r="T1051" i="21"/>
  <c r="U1050" i="21"/>
  <c r="T1050" i="21"/>
  <c r="T1049" i="21"/>
  <c r="U1049" i="21" s="1"/>
  <c r="T1047" i="21"/>
  <c r="U1047" i="21" s="1"/>
  <c r="U1046" i="21"/>
  <c r="T1046" i="21"/>
  <c r="T1045" i="21"/>
  <c r="U1045" i="21" s="1"/>
  <c r="T1044" i="21"/>
  <c r="U1044" i="21" s="1"/>
  <c r="T1043" i="21"/>
  <c r="U1043" i="21" s="1"/>
  <c r="U1042" i="21"/>
  <c r="T1042" i="21"/>
  <c r="U1041" i="21"/>
  <c r="T1041" i="21"/>
  <c r="T1040" i="21"/>
  <c r="U1040" i="21" s="1"/>
  <c r="T1039" i="21"/>
  <c r="U1039" i="21" s="1"/>
  <c r="T1038" i="21"/>
  <c r="U1038" i="21" s="1"/>
  <c r="T1037" i="21"/>
  <c r="U1037" i="21" s="1"/>
  <c r="T1036" i="21"/>
  <c r="U1036" i="21" s="1"/>
  <c r="T1035" i="21"/>
  <c r="U1035" i="21" s="1"/>
  <c r="T1034" i="21"/>
  <c r="U1034" i="21" s="1"/>
  <c r="T1033" i="21"/>
  <c r="U1033" i="21" s="1"/>
  <c r="U1032" i="21"/>
  <c r="T1032" i="21"/>
  <c r="U1031" i="21"/>
  <c r="T1031" i="21"/>
  <c r="U1030" i="21"/>
  <c r="T1030" i="21"/>
  <c r="U1027" i="21"/>
  <c r="T1027" i="21"/>
  <c r="T1026" i="21"/>
  <c r="U1026" i="21" s="1"/>
  <c r="U1025" i="21"/>
  <c r="T1025" i="21"/>
  <c r="U1024" i="21"/>
  <c r="T1024" i="21"/>
  <c r="U1023" i="21"/>
  <c r="T1023" i="21"/>
  <c r="T1022" i="21"/>
  <c r="U1022" i="21" s="1"/>
  <c r="T1021" i="21"/>
  <c r="U1021" i="21" s="1"/>
  <c r="U1020" i="21"/>
  <c r="T1020" i="21"/>
  <c r="U1019" i="21"/>
  <c r="T1019" i="21"/>
  <c r="T1018" i="21"/>
  <c r="U1018" i="21" s="1"/>
  <c r="U1017" i="21"/>
  <c r="T1017" i="21"/>
  <c r="T1016" i="21"/>
  <c r="U1016" i="21" s="1"/>
  <c r="U1015" i="21"/>
  <c r="T1015" i="21"/>
  <c r="T1014" i="21"/>
  <c r="U1014" i="21" s="1"/>
  <c r="T1013" i="21"/>
  <c r="U1013" i="21" s="1"/>
  <c r="U1012" i="21"/>
  <c r="T1012" i="21"/>
  <c r="U1011" i="21"/>
  <c r="T1011" i="21"/>
  <c r="U1010" i="21"/>
  <c r="T1010" i="21"/>
  <c r="T1009" i="21"/>
  <c r="U1009" i="21" s="1"/>
  <c r="U1008" i="21"/>
  <c r="T1008" i="21"/>
  <c r="U1007" i="21"/>
  <c r="T1007" i="21"/>
  <c r="T1006" i="21"/>
  <c r="U1006" i="21" s="1"/>
  <c r="U1005" i="21"/>
  <c r="T1005" i="21"/>
  <c r="T1004" i="21"/>
  <c r="U1004" i="21" s="1"/>
  <c r="U1003" i="21"/>
  <c r="T1003" i="21"/>
  <c r="T1002" i="21"/>
  <c r="U1002" i="21" s="1"/>
  <c r="U1001" i="21"/>
  <c r="T1001" i="21"/>
  <c r="T1000" i="21"/>
  <c r="U1000" i="21" s="1"/>
  <c r="U999" i="21"/>
  <c r="T999" i="21"/>
  <c r="U998" i="21"/>
  <c r="T998" i="21"/>
  <c r="U997" i="21"/>
  <c r="T997" i="21"/>
  <c r="U996" i="21"/>
  <c r="T996" i="21"/>
  <c r="U995" i="21"/>
  <c r="T995" i="21"/>
  <c r="U994" i="21"/>
  <c r="T994" i="21"/>
  <c r="U992" i="21"/>
  <c r="T992" i="21"/>
  <c r="U991" i="21"/>
  <c r="T991" i="21"/>
  <c r="U990" i="21"/>
  <c r="T990" i="21"/>
  <c r="T989" i="21"/>
  <c r="U989" i="21" s="1"/>
  <c r="U988" i="21"/>
  <c r="T988" i="21"/>
  <c r="T987" i="21"/>
  <c r="U987" i="21" s="1"/>
  <c r="U986" i="21"/>
  <c r="T986" i="21"/>
  <c r="T985" i="21"/>
  <c r="U985" i="21" s="1"/>
  <c r="T984" i="21"/>
  <c r="U984" i="21" s="1"/>
  <c r="T983" i="21"/>
  <c r="U983" i="21" s="1"/>
  <c r="T982" i="21"/>
  <c r="U982" i="21" s="1"/>
  <c r="T981" i="21"/>
  <c r="U981" i="21" s="1"/>
  <c r="T980" i="21"/>
  <c r="U980" i="21" s="1"/>
  <c r="T979" i="21"/>
  <c r="U979" i="21" s="1"/>
  <c r="T978" i="21"/>
  <c r="U978" i="21" s="1"/>
  <c r="T977" i="21"/>
  <c r="U977" i="21" s="1"/>
  <c r="T976" i="21"/>
  <c r="U976" i="21" s="1"/>
  <c r="T975" i="21"/>
  <c r="U975" i="21" s="1"/>
  <c r="U974" i="21"/>
  <c r="T974" i="21"/>
  <c r="T973" i="21"/>
  <c r="U973" i="21" s="1"/>
  <c r="U972" i="21"/>
  <c r="T972" i="21"/>
  <c r="U971" i="21"/>
  <c r="T971" i="21"/>
  <c r="T970" i="21"/>
  <c r="U970" i="21" s="1"/>
  <c r="T969" i="21"/>
  <c r="U969" i="21" s="1"/>
  <c r="T968" i="21"/>
  <c r="U968" i="21" s="1"/>
  <c r="U967" i="21"/>
  <c r="T967" i="21"/>
  <c r="U966" i="21"/>
  <c r="T966" i="21"/>
  <c r="T965" i="21"/>
  <c r="U965" i="21" s="1"/>
  <c r="U964" i="21"/>
  <c r="T964" i="21"/>
  <c r="T963" i="21"/>
  <c r="U963" i="21" s="1"/>
  <c r="U962" i="21"/>
  <c r="T962" i="21"/>
  <c r="T961" i="21"/>
  <c r="U961" i="21" s="1"/>
  <c r="T960" i="21"/>
  <c r="U960" i="21" s="1"/>
  <c r="U959" i="21"/>
  <c r="T959" i="21"/>
  <c r="T958" i="21"/>
  <c r="U958" i="21" s="1"/>
  <c r="T957" i="21"/>
  <c r="U957" i="21" s="1"/>
  <c r="T956" i="21"/>
  <c r="U956" i="21" s="1"/>
  <c r="U955" i="21"/>
  <c r="T955" i="21"/>
  <c r="U954" i="21"/>
  <c r="T954" i="21"/>
  <c r="T953" i="21"/>
  <c r="U953" i="21" s="1"/>
  <c r="T952" i="21"/>
  <c r="U952" i="21" s="1"/>
  <c r="U951" i="21"/>
  <c r="T951" i="21"/>
  <c r="T950" i="21"/>
  <c r="U950" i="21" s="1"/>
  <c r="U949" i="21"/>
  <c r="T949" i="21"/>
  <c r="T948" i="21"/>
  <c r="U948" i="21" s="1"/>
  <c r="T947" i="21"/>
  <c r="U947" i="21" s="1"/>
  <c r="T946" i="21"/>
  <c r="U946" i="21" s="1"/>
  <c r="T945" i="21"/>
  <c r="U945" i="21" s="1"/>
  <c r="T944" i="21"/>
  <c r="U944" i="21" s="1"/>
  <c r="T943" i="21"/>
  <c r="U943" i="21" s="1"/>
  <c r="U942" i="21"/>
  <c r="T942" i="21"/>
  <c r="T941" i="21"/>
  <c r="U941" i="21" s="1"/>
  <c r="U940" i="21"/>
  <c r="T940" i="21"/>
  <c r="U939" i="21"/>
  <c r="T939" i="21"/>
  <c r="U938" i="21"/>
  <c r="T938" i="21"/>
  <c r="U937" i="21"/>
  <c r="T937" i="21"/>
  <c r="T936" i="21"/>
  <c r="U936" i="21" s="1"/>
  <c r="U935" i="21"/>
  <c r="T935" i="21"/>
  <c r="U934" i="21"/>
  <c r="T934" i="21"/>
  <c r="U933" i="21"/>
  <c r="T933" i="21"/>
  <c r="U930" i="21"/>
  <c r="T930" i="21"/>
  <c r="U929" i="21"/>
  <c r="T929" i="21"/>
  <c r="U928" i="21"/>
  <c r="T928" i="21"/>
  <c r="U925" i="21"/>
  <c r="T925" i="21"/>
  <c r="T924" i="21"/>
  <c r="U924" i="21" s="1"/>
  <c r="U923" i="21"/>
  <c r="T923" i="21"/>
  <c r="T920" i="21"/>
  <c r="U920" i="21" s="1"/>
  <c r="T919" i="21"/>
  <c r="U919" i="21" s="1"/>
  <c r="U918" i="21"/>
  <c r="T918" i="21"/>
  <c r="T917" i="21"/>
  <c r="U917" i="21" s="1"/>
  <c r="T916" i="21"/>
  <c r="U916" i="21" s="1"/>
  <c r="T915" i="21"/>
  <c r="U915" i="21" s="1"/>
  <c r="T914" i="21"/>
  <c r="U914" i="21" s="1"/>
  <c r="T913" i="21"/>
  <c r="U913" i="21" s="1"/>
  <c r="T912" i="21"/>
  <c r="U912" i="21" s="1"/>
  <c r="T911" i="21"/>
  <c r="U911" i="21" s="1"/>
  <c r="U910" i="21"/>
  <c r="T910" i="21"/>
  <c r="U909" i="21"/>
  <c r="T909" i="21"/>
  <c r="T908" i="21"/>
  <c r="U908" i="21" s="1"/>
  <c r="U907" i="21"/>
  <c r="T907" i="21"/>
  <c r="T906" i="21"/>
  <c r="U906" i="21" s="1"/>
  <c r="U905" i="21"/>
  <c r="T905" i="21"/>
  <c r="T904" i="21"/>
  <c r="U904" i="21" s="1"/>
  <c r="T903" i="21"/>
  <c r="U903" i="21" s="1"/>
  <c r="U902" i="21"/>
  <c r="T902" i="21"/>
  <c r="U901" i="21"/>
  <c r="T901" i="21"/>
  <c r="U900" i="21"/>
  <c r="T900" i="21"/>
  <c r="U899" i="21"/>
  <c r="T899" i="21"/>
  <c r="U898" i="21"/>
  <c r="T898" i="21"/>
  <c r="U897" i="21"/>
  <c r="T897" i="21"/>
  <c r="T896" i="21"/>
  <c r="U896" i="21" s="1"/>
  <c r="U894" i="21"/>
  <c r="T894" i="21"/>
  <c r="U893" i="21"/>
  <c r="T893" i="21"/>
  <c r="U892" i="21"/>
  <c r="T892" i="21"/>
  <c r="U891" i="21"/>
  <c r="T891" i="21"/>
  <c r="T890" i="21"/>
  <c r="U890" i="21" s="1"/>
  <c r="T889" i="21"/>
  <c r="U889" i="21" s="1"/>
  <c r="U888" i="21"/>
  <c r="T888" i="21"/>
  <c r="U887" i="21"/>
  <c r="T887" i="21"/>
  <c r="U886" i="21"/>
  <c r="T886" i="21"/>
  <c r="U885" i="21"/>
  <c r="T885" i="21"/>
  <c r="U884" i="21"/>
  <c r="T884" i="21"/>
  <c r="U882" i="21"/>
  <c r="T882" i="21"/>
  <c r="U881" i="21"/>
  <c r="T881" i="21"/>
  <c r="T880" i="21"/>
  <c r="U880" i="21" s="1"/>
  <c r="T879" i="21"/>
  <c r="U879" i="21" s="1"/>
  <c r="U878" i="21"/>
  <c r="T878" i="21"/>
  <c r="U877" i="21"/>
  <c r="T877" i="21"/>
  <c r="U876" i="21"/>
  <c r="T876" i="21"/>
  <c r="T875" i="21"/>
  <c r="U875" i="21" s="1"/>
  <c r="U874" i="21"/>
  <c r="T874" i="21"/>
  <c r="T873" i="21"/>
  <c r="U873" i="21" s="1"/>
  <c r="T872" i="21"/>
  <c r="U872" i="21" s="1"/>
  <c r="T871" i="21"/>
  <c r="U871" i="21" s="1"/>
  <c r="T870" i="21"/>
  <c r="U870" i="21" s="1"/>
  <c r="U869" i="21"/>
  <c r="T869" i="21"/>
  <c r="U868" i="21"/>
  <c r="T868" i="21"/>
  <c r="T867" i="21"/>
  <c r="U867" i="21" s="1"/>
  <c r="U866" i="21"/>
  <c r="T866" i="21"/>
  <c r="U865" i="21"/>
  <c r="T865" i="21"/>
  <c r="T864" i="21"/>
  <c r="U864" i="21" s="1"/>
  <c r="U863" i="21"/>
  <c r="T863" i="21"/>
  <c r="U862" i="21"/>
  <c r="T862" i="21"/>
  <c r="T858" i="21"/>
  <c r="U858" i="21" s="1"/>
  <c r="U857" i="21"/>
  <c r="T857" i="21"/>
  <c r="U856" i="21"/>
  <c r="T856" i="21"/>
  <c r="U855" i="21"/>
  <c r="T855" i="21"/>
  <c r="U854" i="21"/>
  <c r="T854" i="21"/>
  <c r="T853" i="21"/>
  <c r="U853" i="21" s="1"/>
  <c r="U846" i="21"/>
  <c r="T846" i="21"/>
  <c r="T837" i="21"/>
  <c r="U837" i="21" s="1"/>
  <c r="U836" i="21"/>
  <c r="T836" i="21"/>
  <c r="U835" i="21"/>
  <c r="T835" i="21"/>
  <c r="T834" i="21"/>
  <c r="U834" i="21" s="1"/>
  <c r="U833" i="21"/>
  <c r="T833" i="21"/>
  <c r="U832" i="21"/>
  <c r="T832" i="21"/>
  <c r="T831" i="21"/>
  <c r="U831" i="21" s="1"/>
  <c r="U830" i="21"/>
  <c r="T830" i="21"/>
  <c r="U829" i="21"/>
  <c r="T829" i="21"/>
  <c r="U828" i="21"/>
  <c r="T828" i="21"/>
  <c r="T827" i="21"/>
  <c r="U827" i="21" s="1"/>
  <c r="U826" i="21"/>
  <c r="T826" i="21"/>
  <c r="T825" i="21"/>
  <c r="U825" i="21" s="1"/>
  <c r="U824" i="21"/>
  <c r="T824" i="21"/>
  <c r="T823" i="21"/>
  <c r="U823" i="21" s="1"/>
  <c r="U822" i="21"/>
  <c r="T822" i="21"/>
  <c r="U821" i="21"/>
  <c r="T821" i="21"/>
  <c r="U820" i="21"/>
  <c r="T820" i="21"/>
  <c r="U819" i="21"/>
  <c r="T819" i="21"/>
  <c r="U818" i="21"/>
  <c r="T818" i="21"/>
  <c r="U817" i="21"/>
  <c r="T817" i="21"/>
  <c r="T816" i="21"/>
  <c r="U816" i="21" s="1"/>
  <c r="U815" i="21"/>
  <c r="T815" i="21"/>
  <c r="T814" i="21"/>
  <c r="U814" i="21" s="1"/>
  <c r="T813" i="21"/>
  <c r="U813" i="21" s="1"/>
  <c r="U812" i="21"/>
  <c r="T812" i="21"/>
  <c r="T811" i="21"/>
  <c r="U811" i="21" s="1"/>
  <c r="U810" i="21"/>
  <c r="T810" i="21"/>
  <c r="U809" i="21"/>
  <c r="T809" i="21"/>
  <c r="U808" i="21"/>
  <c r="T808" i="21"/>
  <c r="U807" i="21"/>
  <c r="T807" i="21"/>
  <c r="U806" i="21"/>
  <c r="T806" i="21"/>
  <c r="U805" i="21"/>
  <c r="T805" i="21"/>
  <c r="U804" i="21"/>
  <c r="T804" i="21"/>
  <c r="T803" i="21"/>
  <c r="U803" i="21" s="1"/>
  <c r="U802" i="21"/>
  <c r="T802" i="21"/>
  <c r="U801" i="21"/>
  <c r="T801" i="21"/>
  <c r="U800" i="21"/>
  <c r="T800" i="21"/>
  <c r="U799" i="21"/>
  <c r="T799" i="21"/>
  <c r="U798" i="21"/>
  <c r="T798" i="21"/>
  <c r="U797" i="21"/>
  <c r="T797" i="21"/>
  <c r="U796" i="21"/>
  <c r="T796" i="21"/>
  <c r="U795" i="21"/>
  <c r="T795" i="21"/>
  <c r="U794" i="21"/>
  <c r="T794" i="21"/>
  <c r="U793" i="21"/>
  <c r="T793" i="21"/>
  <c r="U792" i="21"/>
  <c r="T792" i="21"/>
  <c r="U791" i="21"/>
  <c r="T791" i="21"/>
  <c r="U790" i="21"/>
  <c r="T790" i="21"/>
  <c r="U789" i="21"/>
  <c r="T789" i="21"/>
  <c r="T788" i="21"/>
  <c r="U788" i="21" s="1"/>
  <c r="T787" i="21"/>
  <c r="U787" i="21" s="1"/>
  <c r="U786" i="21"/>
  <c r="T786" i="21"/>
  <c r="U785" i="21"/>
  <c r="T785" i="21"/>
  <c r="U784" i="21"/>
  <c r="T784" i="21"/>
  <c r="U783" i="21"/>
  <c r="T783" i="21"/>
  <c r="U782" i="21"/>
  <c r="T782" i="21"/>
  <c r="U780" i="21"/>
  <c r="T780" i="21"/>
  <c r="U779" i="21"/>
  <c r="T779" i="21"/>
  <c r="T778" i="21"/>
  <c r="U778" i="21" s="1"/>
  <c r="T777" i="21"/>
  <c r="U777" i="21" s="1"/>
  <c r="T776" i="21"/>
  <c r="U776" i="21" s="1"/>
  <c r="T775" i="21"/>
  <c r="U775" i="21" s="1"/>
  <c r="T774" i="21"/>
  <c r="U774" i="21" s="1"/>
  <c r="T773" i="21"/>
  <c r="U773" i="21" s="1"/>
  <c r="T772" i="21"/>
  <c r="U772" i="21" s="1"/>
  <c r="T771" i="21"/>
  <c r="U771" i="21" s="1"/>
  <c r="T770" i="21"/>
  <c r="U770" i="21" s="1"/>
  <c r="U769" i="21"/>
  <c r="T769" i="21"/>
  <c r="U768" i="21"/>
  <c r="T768" i="21"/>
  <c r="U767" i="21"/>
  <c r="T767" i="21"/>
  <c r="T766" i="21"/>
  <c r="U766" i="21" s="1"/>
  <c r="U765" i="21"/>
  <c r="T765" i="21"/>
  <c r="T764" i="21"/>
  <c r="U764" i="21" s="1"/>
  <c r="U763" i="21"/>
  <c r="T763" i="21"/>
  <c r="T762" i="21"/>
  <c r="U762" i="21" s="1"/>
  <c r="U761" i="21"/>
  <c r="T761" i="21"/>
  <c r="U760" i="21"/>
  <c r="T760" i="21"/>
  <c r="U759" i="21"/>
  <c r="T759" i="21"/>
  <c r="U758" i="21"/>
  <c r="T758" i="21"/>
  <c r="U757" i="21"/>
  <c r="T757" i="21"/>
  <c r="T756" i="21"/>
  <c r="U756" i="21" s="1"/>
  <c r="U755" i="21"/>
  <c r="T755" i="21"/>
  <c r="U754" i="21"/>
  <c r="T754" i="21"/>
  <c r="T753" i="21"/>
  <c r="U753" i="21" s="1"/>
  <c r="U751" i="21"/>
  <c r="T751" i="21"/>
  <c r="U750" i="21"/>
  <c r="T750" i="21"/>
  <c r="T748" i="21"/>
  <c r="U748" i="21" s="1"/>
  <c r="U747" i="21"/>
  <c r="T747" i="21"/>
  <c r="U746" i="21"/>
  <c r="T746" i="21"/>
  <c r="U745" i="21"/>
  <c r="T745" i="21"/>
  <c r="U743" i="21"/>
  <c r="T743" i="21"/>
  <c r="U741" i="21"/>
  <c r="T741" i="21"/>
  <c r="U740" i="21"/>
  <c r="T740" i="21"/>
  <c r="U738" i="21"/>
  <c r="T738" i="21"/>
  <c r="T737" i="21"/>
  <c r="U737" i="21" s="1"/>
  <c r="T736" i="21"/>
  <c r="U736" i="21" s="1"/>
  <c r="T735" i="21"/>
  <c r="U735" i="21" s="1"/>
  <c r="U734" i="21"/>
  <c r="T734" i="21"/>
  <c r="U733" i="21"/>
  <c r="T733" i="21"/>
  <c r="U732" i="21"/>
  <c r="T732" i="21"/>
  <c r="T729" i="21"/>
  <c r="U729" i="21" s="1"/>
  <c r="U728" i="21"/>
  <c r="T728" i="21"/>
  <c r="U727" i="21"/>
  <c r="T727" i="21"/>
  <c r="T726" i="21"/>
  <c r="U726" i="21" s="1"/>
  <c r="U725" i="21"/>
  <c r="T725" i="21"/>
  <c r="U724" i="21"/>
  <c r="T724" i="21"/>
  <c r="U723" i="21"/>
  <c r="T723" i="21"/>
  <c r="U722" i="21"/>
  <c r="T722" i="21"/>
  <c r="U721" i="21"/>
  <c r="T721" i="21"/>
  <c r="U720" i="21"/>
  <c r="T720" i="21"/>
  <c r="U719" i="21"/>
  <c r="T719" i="21"/>
  <c r="U718" i="21"/>
  <c r="T718" i="21"/>
  <c r="U717" i="21"/>
  <c r="T717" i="21"/>
  <c r="T716" i="21"/>
  <c r="U716" i="21" s="1"/>
  <c r="U715" i="21"/>
  <c r="T715" i="21"/>
  <c r="U714" i="21"/>
  <c r="T714" i="21"/>
  <c r="U713" i="21"/>
  <c r="T713" i="21"/>
  <c r="T712" i="21"/>
  <c r="U712" i="21" s="1"/>
  <c r="U711" i="21"/>
  <c r="T711" i="21"/>
  <c r="U710" i="21"/>
  <c r="T710" i="21"/>
  <c r="T709" i="21"/>
  <c r="U709" i="21" s="1"/>
  <c r="U708" i="21"/>
  <c r="T708" i="21"/>
  <c r="T701" i="21"/>
  <c r="U701" i="21" s="1"/>
  <c r="T692" i="21"/>
  <c r="U692" i="21" s="1"/>
  <c r="U691" i="21"/>
  <c r="T691" i="21"/>
  <c r="U690" i="21"/>
  <c r="T690" i="21"/>
  <c r="U689" i="21"/>
  <c r="T689" i="21"/>
  <c r="U688" i="21"/>
  <c r="T688" i="21"/>
  <c r="U687" i="21"/>
  <c r="T687" i="21"/>
  <c r="U686" i="21"/>
  <c r="T686" i="21"/>
  <c r="U685" i="21"/>
  <c r="T685" i="21"/>
  <c r="T684" i="21"/>
  <c r="U684" i="21" s="1"/>
  <c r="U683" i="21"/>
  <c r="T683" i="21"/>
  <c r="T682" i="21"/>
  <c r="U682" i="21" s="1"/>
  <c r="U681" i="21"/>
  <c r="T681" i="21"/>
  <c r="T680" i="21"/>
  <c r="U680" i="21" s="1"/>
  <c r="U679" i="21"/>
  <c r="T679" i="21"/>
  <c r="T678" i="21"/>
  <c r="U678" i="21" s="1"/>
  <c r="U677" i="21"/>
  <c r="T677" i="21"/>
  <c r="U676" i="21"/>
  <c r="T676" i="21"/>
  <c r="U675" i="21"/>
  <c r="T675" i="21"/>
  <c r="U674" i="21"/>
  <c r="T674" i="21"/>
  <c r="U673" i="21"/>
  <c r="T673" i="21"/>
  <c r="U672" i="21"/>
  <c r="T672" i="21"/>
  <c r="T671" i="21"/>
  <c r="U671" i="21" s="1"/>
  <c r="U670" i="21"/>
  <c r="T670" i="21"/>
  <c r="U669" i="21"/>
  <c r="T669" i="21"/>
  <c r="U668" i="21"/>
  <c r="T668" i="21"/>
  <c r="T667" i="21"/>
  <c r="U667" i="21" s="1"/>
  <c r="U666" i="21"/>
  <c r="T666" i="21"/>
  <c r="U665" i="21"/>
  <c r="T665" i="21"/>
  <c r="U664" i="21"/>
  <c r="T664" i="21"/>
  <c r="U663" i="21"/>
  <c r="T663" i="21"/>
  <c r="U662" i="21"/>
  <c r="T662" i="21"/>
  <c r="U661" i="21"/>
  <c r="T661" i="21"/>
  <c r="U660" i="21"/>
  <c r="T660" i="21"/>
  <c r="U659" i="21"/>
  <c r="T659" i="21"/>
  <c r="U658" i="21"/>
  <c r="T658" i="21"/>
  <c r="T657" i="21"/>
  <c r="U657" i="21" s="1"/>
  <c r="U656" i="21"/>
  <c r="T656" i="21"/>
  <c r="T655" i="21"/>
  <c r="U655" i="21" s="1"/>
  <c r="U654" i="21"/>
  <c r="T654" i="21"/>
  <c r="T653" i="21"/>
  <c r="U653" i="21" s="1"/>
  <c r="U652" i="21"/>
  <c r="T652" i="21"/>
  <c r="U651" i="21"/>
  <c r="T651" i="21"/>
  <c r="T650" i="21"/>
  <c r="U650" i="21" s="1"/>
  <c r="U649" i="21"/>
  <c r="T649" i="21"/>
  <c r="T648" i="21"/>
  <c r="U648" i="21" s="1"/>
  <c r="U647" i="21"/>
  <c r="T647" i="21"/>
  <c r="T646" i="21"/>
  <c r="U646" i="21" s="1"/>
  <c r="U645" i="21"/>
  <c r="T645" i="21"/>
  <c r="T644" i="21"/>
  <c r="U644" i="21" s="1"/>
  <c r="U643" i="21"/>
  <c r="T643" i="21"/>
  <c r="T642" i="21"/>
  <c r="U642" i="21" s="1"/>
  <c r="U641" i="21"/>
  <c r="T641" i="21"/>
  <c r="T640" i="21"/>
  <c r="U640" i="21" s="1"/>
  <c r="U639" i="21"/>
  <c r="T639" i="21"/>
  <c r="T638" i="21"/>
  <c r="U638" i="21" s="1"/>
  <c r="U637" i="21"/>
  <c r="T637" i="21"/>
  <c r="T636" i="21"/>
  <c r="U636" i="21" s="1"/>
  <c r="U635" i="21"/>
  <c r="T635" i="21"/>
  <c r="T634" i="21"/>
  <c r="U634" i="21" s="1"/>
  <c r="T633" i="21"/>
  <c r="U633" i="21" s="1"/>
  <c r="T632" i="21"/>
  <c r="U632" i="21" s="1"/>
  <c r="T631" i="21"/>
  <c r="U631" i="21" s="1"/>
  <c r="U630" i="21"/>
  <c r="T630" i="21"/>
  <c r="T629" i="21"/>
  <c r="U629" i="21" s="1"/>
  <c r="T628" i="21"/>
  <c r="U628" i="21" s="1"/>
  <c r="T627" i="21"/>
  <c r="U627" i="21" s="1"/>
  <c r="T626" i="21"/>
  <c r="U626" i="21" s="1"/>
  <c r="T625" i="21"/>
  <c r="U625" i="21" s="1"/>
  <c r="U624" i="21"/>
  <c r="T624" i="21"/>
  <c r="T623" i="21"/>
  <c r="U623" i="21" s="1"/>
  <c r="T622" i="21"/>
  <c r="U622" i="21" s="1"/>
  <c r="T621" i="21"/>
  <c r="U621" i="21" s="1"/>
  <c r="T620" i="21"/>
  <c r="U620" i="21" s="1"/>
  <c r="U619" i="21"/>
  <c r="T619" i="21"/>
  <c r="U618" i="21"/>
  <c r="T618" i="21"/>
  <c r="U617" i="21"/>
  <c r="T617" i="21"/>
  <c r="T616" i="21"/>
  <c r="U616" i="21" s="1"/>
  <c r="T615" i="21"/>
  <c r="U615" i="21" s="1"/>
  <c r="T614" i="21"/>
  <c r="U614" i="21" s="1"/>
  <c r="T613" i="21"/>
  <c r="U613" i="21" s="1"/>
  <c r="T612" i="21"/>
  <c r="U612" i="21" s="1"/>
  <c r="T611" i="21"/>
  <c r="U611" i="21" s="1"/>
  <c r="T610" i="21"/>
  <c r="U610" i="21" s="1"/>
  <c r="T609" i="21"/>
  <c r="U609" i="21" s="1"/>
  <c r="T608" i="21"/>
  <c r="U608" i="21" s="1"/>
  <c r="T607" i="21"/>
  <c r="U607" i="21" s="1"/>
  <c r="T606" i="21"/>
  <c r="U606" i="21" s="1"/>
  <c r="T605" i="21"/>
  <c r="U605" i="21" s="1"/>
  <c r="T604" i="21"/>
  <c r="U604" i="21" s="1"/>
  <c r="T603" i="21"/>
  <c r="U603" i="21" s="1"/>
  <c r="T602" i="21"/>
  <c r="U602" i="21" s="1"/>
  <c r="T601" i="21"/>
  <c r="U601" i="21" s="1"/>
  <c r="T600" i="21"/>
  <c r="U600" i="21" s="1"/>
  <c r="T599" i="21"/>
  <c r="U599" i="21" s="1"/>
  <c r="T598" i="21"/>
  <c r="U598" i="21" s="1"/>
  <c r="T597" i="21"/>
  <c r="U597" i="21" s="1"/>
  <c r="U596" i="21"/>
  <c r="T596" i="21"/>
  <c r="U595" i="21"/>
  <c r="T595" i="21"/>
  <c r="U594" i="21"/>
  <c r="T594" i="21"/>
  <c r="U593" i="21"/>
  <c r="T593" i="21"/>
  <c r="U592" i="21"/>
  <c r="T592" i="21"/>
  <c r="T591" i="21"/>
  <c r="U591" i="21" s="1"/>
  <c r="T590" i="21"/>
  <c r="U590" i="21" s="1"/>
  <c r="T589" i="21"/>
  <c r="U589" i="21" s="1"/>
  <c r="T588" i="21"/>
  <c r="U588" i="21" s="1"/>
  <c r="U587" i="21"/>
  <c r="T587" i="21"/>
  <c r="T586" i="21"/>
  <c r="U586" i="21" s="1"/>
  <c r="T585" i="21"/>
  <c r="U585" i="21" s="1"/>
  <c r="T584" i="21"/>
  <c r="U584" i="21" s="1"/>
  <c r="T583" i="21"/>
  <c r="U583" i="21" s="1"/>
  <c r="U582" i="21"/>
  <c r="T582" i="21"/>
  <c r="T581" i="21"/>
  <c r="U581" i="21" s="1"/>
  <c r="T580" i="21"/>
  <c r="U580" i="21" s="1"/>
  <c r="T579" i="21"/>
  <c r="U579" i="21" s="1"/>
  <c r="T578" i="21"/>
  <c r="U578" i="21" s="1"/>
  <c r="U577" i="21"/>
  <c r="T577" i="21"/>
  <c r="U576" i="21"/>
  <c r="T576" i="21"/>
  <c r="T575" i="21"/>
  <c r="U575" i="21" s="1"/>
  <c r="T574" i="21"/>
  <c r="U574" i="21" s="1"/>
  <c r="T573" i="21"/>
  <c r="U573" i="21" s="1"/>
  <c r="U572" i="21"/>
  <c r="T572" i="21"/>
  <c r="U571" i="21"/>
  <c r="T571" i="21"/>
  <c r="T570" i="21"/>
  <c r="U570" i="21" s="1"/>
  <c r="T569" i="21"/>
  <c r="U569" i="21" s="1"/>
  <c r="U568" i="21"/>
  <c r="T568" i="21"/>
  <c r="U567" i="21"/>
  <c r="T567" i="21"/>
  <c r="T566" i="21"/>
  <c r="U566" i="21" s="1"/>
  <c r="T565" i="21"/>
  <c r="U565" i="21" s="1"/>
  <c r="U564" i="21"/>
  <c r="T564" i="21"/>
  <c r="T563" i="21"/>
  <c r="U563" i="21" s="1"/>
  <c r="U562" i="21"/>
  <c r="T562" i="21"/>
  <c r="T561" i="21"/>
  <c r="U561" i="21" s="1"/>
  <c r="T560" i="21"/>
  <c r="U560" i="21" s="1"/>
  <c r="U559" i="21"/>
  <c r="T559" i="21"/>
  <c r="T558" i="21"/>
  <c r="U558" i="21" s="1"/>
  <c r="T557" i="21"/>
  <c r="U557" i="21" s="1"/>
  <c r="T556" i="21"/>
  <c r="U556" i="21" s="1"/>
  <c r="T555" i="21"/>
  <c r="U555" i="21" s="1"/>
  <c r="T554" i="21"/>
  <c r="U554" i="21" s="1"/>
  <c r="T553" i="21"/>
  <c r="U553" i="21" s="1"/>
  <c r="U552" i="21"/>
  <c r="T552" i="21"/>
  <c r="T551" i="21"/>
  <c r="U551" i="21" s="1"/>
  <c r="T550" i="21"/>
  <c r="U550" i="21" s="1"/>
  <c r="T549" i="21"/>
  <c r="U549" i="21" s="1"/>
  <c r="U548" i="21"/>
  <c r="T548" i="21"/>
  <c r="T547" i="21"/>
  <c r="U547" i="21" s="1"/>
  <c r="U546" i="21"/>
  <c r="T546" i="21"/>
  <c r="U545" i="21"/>
  <c r="T545" i="21"/>
  <c r="U544" i="21"/>
  <c r="T544" i="21"/>
  <c r="U543" i="21"/>
  <c r="T543" i="21"/>
  <c r="U542" i="21"/>
  <c r="T542" i="21"/>
  <c r="T541" i="21"/>
  <c r="U541" i="21" s="1"/>
  <c r="T540" i="21"/>
  <c r="U540" i="21" s="1"/>
  <c r="U539" i="21"/>
  <c r="T539" i="21"/>
  <c r="T538" i="21"/>
  <c r="U538" i="21" s="1"/>
  <c r="U537" i="21"/>
  <c r="T537" i="21"/>
  <c r="T536" i="21"/>
  <c r="U536" i="21" s="1"/>
  <c r="T535" i="21"/>
  <c r="U535" i="21" s="1"/>
  <c r="U534" i="21"/>
  <c r="T534" i="21"/>
  <c r="T533" i="21"/>
  <c r="U533" i="21" s="1"/>
  <c r="U532" i="21"/>
  <c r="T532" i="21"/>
  <c r="T531" i="21"/>
  <c r="U531" i="21" s="1"/>
  <c r="T530" i="21"/>
  <c r="U530" i="21" s="1"/>
  <c r="U529" i="21"/>
  <c r="T529" i="21"/>
  <c r="T528" i="21"/>
  <c r="U528" i="21" s="1"/>
  <c r="U527" i="21"/>
  <c r="T527" i="21"/>
  <c r="U526" i="21"/>
  <c r="T526" i="21"/>
  <c r="T525" i="21"/>
  <c r="U525" i="21" s="1"/>
  <c r="T524" i="21"/>
  <c r="U524" i="21" s="1"/>
  <c r="T523" i="21"/>
  <c r="U523" i="21" s="1"/>
  <c r="U522" i="21"/>
  <c r="T522" i="21"/>
  <c r="U521" i="21"/>
  <c r="T521" i="21"/>
  <c r="U520" i="21"/>
  <c r="T520" i="21"/>
  <c r="T519" i="21"/>
  <c r="U519" i="21" s="1"/>
  <c r="U518" i="21"/>
  <c r="T518" i="21"/>
  <c r="U517" i="21"/>
  <c r="T517" i="21"/>
  <c r="T516" i="21"/>
  <c r="U516" i="21" s="1"/>
  <c r="T515" i="21"/>
  <c r="U515" i="21" s="1"/>
  <c r="T514" i="21"/>
  <c r="U514" i="21" s="1"/>
  <c r="T513" i="21"/>
  <c r="U513" i="21" s="1"/>
  <c r="U512" i="21"/>
  <c r="T512" i="21"/>
  <c r="T511" i="21"/>
  <c r="U511" i="21" s="1"/>
  <c r="U510" i="21"/>
  <c r="T510" i="21"/>
  <c r="T509" i="21"/>
  <c r="U509" i="21" s="1"/>
  <c r="T508" i="21"/>
  <c r="U508" i="21" s="1"/>
  <c r="T507" i="21"/>
  <c r="U507" i="21" s="1"/>
  <c r="T506" i="21"/>
  <c r="U506" i="21" s="1"/>
  <c r="T505" i="21"/>
  <c r="U505" i="21" s="1"/>
  <c r="T504" i="21"/>
  <c r="U504" i="21" s="1"/>
  <c r="T503" i="21"/>
  <c r="U503" i="21" s="1"/>
  <c r="T502" i="21"/>
  <c r="U502" i="21" s="1"/>
  <c r="T501" i="21"/>
  <c r="U501" i="21" s="1"/>
  <c r="T500" i="21"/>
  <c r="U500" i="21" s="1"/>
  <c r="T499" i="21"/>
  <c r="U499" i="21" s="1"/>
  <c r="T498" i="21"/>
  <c r="U498" i="21" s="1"/>
  <c r="T497" i="21"/>
  <c r="U497" i="21" s="1"/>
  <c r="U496" i="21"/>
  <c r="T496" i="21"/>
  <c r="U495" i="21"/>
  <c r="T495" i="21"/>
  <c r="U494" i="21"/>
  <c r="T494" i="21"/>
  <c r="U493" i="21"/>
  <c r="T493" i="21"/>
  <c r="U492" i="21"/>
  <c r="T492" i="21"/>
  <c r="T491" i="21"/>
  <c r="U491" i="21" s="1"/>
  <c r="T490" i="21"/>
  <c r="U490" i="21" s="1"/>
  <c r="T489" i="21"/>
  <c r="U489" i="21" s="1"/>
  <c r="T488" i="21"/>
  <c r="U488" i="21" s="1"/>
  <c r="U487" i="21"/>
  <c r="T487" i="21"/>
  <c r="U486" i="21"/>
  <c r="T486" i="21"/>
  <c r="T485" i="21"/>
  <c r="U485" i="21" s="1"/>
  <c r="T484" i="21"/>
  <c r="U484" i="21" s="1"/>
  <c r="T483" i="21"/>
  <c r="U483" i="21" s="1"/>
  <c r="U482" i="21"/>
  <c r="T482" i="21"/>
  <c r="T481" i="21"/>
  <c r="U481" i="21" s="1"/>
  <c r="T480" i="21"/>
  <c r="U480" i="21" s="1"/>
  <c r="T479" i="21"/>
  <c r="U479" i="21" s="1"/>
  <c r="T478" i="21"/>
  <c r="U478" i="21" s="1"/>
  <c r="U477" i="21"/>
  <c r="T477" i="21"/>
  <c r="U476" i="21"/>
  <c r="T476" i="21"/>
  <c r="U475" i="21"/>
  <c r="T475" i="21"/>
  <c r="T474" i="21"/>
  <c r="U474" i="21" s="1"/>
  <c r="T473" i="21"/>
  <c r="U473" i="21" s="1"/>
  <c r="U472" i="21"/>
  <c r="T472" i="21"/>
  <c r="U471" i="21"/>
  <c r="T471" i="21"/>
  <c r="T470" i="21"/>
  <c r="U470" i="21" s="1"/>
  <c r="T469" i="21"/>
  <c r="U469" i="21" s="1"/>
  <c r="U468" i="21"/>
  <c r="T468" i="21"/>
  <c r="U467" i="21"/>
  <c r="T467" i="21"/>
  <c r="T466" i="21"/>
  <c r="U466" i="21" s="1"/>
  <c r="T465" i="21"/>
  <c r="U465" i="21" s="1"/>
  <c r="T464" i="21"/>
  <c r="U464" i="21" s="1"/>
  <c r="T463" i="21"/>
  <c r="U463" i="21" s="1"/>
  <c r="T462" i="21"/>
  <c r="U462" i="21" s="1"/>
  <c r="T461" i="21"/>
  <c r="U461" i="21" s="1"/>
  <c r="T460" i="21"/>
  <c r="U460" i="21" s="1"/>
  <c r="T459" i="21"/>
  <c r="U459" i="21" s="1"/>
  <c r="U458" i="21"/>
  <c r="T458" i="21"/>
  <c r="T457" i="21"/>
  <c r="U457" i="21" s="1"/>
  <c r="T456" i="21"/>
  <c r="U456" i="21" s="1"/>
  <c r="T455" i="21"/>
  <c r="U455" i="21" s="1"/>
  <c r="T454" i="21"/>
  <c r="U454" i="21" s="1"/>
  <c r="T453" i="21"/>
  <c r="U453" i="21" s="1"/>
  <c r="T452" i="21"/>
  <c r="U452" i="21" s="1"/>
  <c r="T451" i="21"/>
  <c r="U451" i="21" s="1"/>
  <c r="T450" i="21"/>
  <c r="U450" i="21" s="1"/>
  <c r="T449" i="21"/>
  <c r="U449" i="21" s="1"/>
  <c r="T448" i="21"/>
  <c r="U448" i="21" s="1"/>
  <c r="T447" i="21"/>
  <c r="U447" i="21" s="1"/>
  <c r="T446" i="21"/>
  <c r="U446" i="21" s="1"/>
  <c r="T445" i="21"/>
  <c r="U445" i="21" s="1"/>
  <c r="T444" i="21"/>
  <c r="U444" i="21" s="1"/>
  <c r="T443" i="21"/>
  <c r="U443" i="21" s="1"/>
  <c r="T442" i="21"/>
  <c r="U442" i="21" s="1"/>
  <c r="T441" i="21"/>
  <c r="U441" i="21" s="1"/>
  <c r="T440" i="21"/>
  <c r="U440" i="21" s="1"/>
  <c r="T439" i="21"/>
  <c r="U439" i="21" s="1"/>
  <c r="T438" i="21"/>
  <c r="U438" i="21" s="1"/>
  <c r="T437" i="21"/>
  <c r="U437" i="21" s="1"/>
  <c r="U436" i="21"/>
  <c r="T436" i="21"/>
  <c r="U435" i="21"/>
  <c r="T435" i="21"/>
  <c r="U434" i="21"/>
  <c r="T434" i="21"/>
  <c r="U433" i="21"/>
  <c r="T433" i="21"/>
  <c r="U432" i="21"/>
  <c r="T432" i="21"/>
  <c r="U431" i="21"/>
  <c r="T431" i="21"/>
  <c r="U430" i="21"/>
  <c r="T430" i="21"/>
  <c r="T429" i="21"/>
  <c r="U429" i="21" s="1"/>
  <c r="T428" i="21"/>
  <c r="U428" i="21" s="1"/>
  <c r="T427" i="21"/>
  <c r="U427" i="21" s="1"/>
  <c r="T426" i="21"/>
  <c r="U426" i="21" s="1"/>
  <c r="T425" i="21"/>
  <c r="U425" i="21" s="1"/>
  <c r="T424" i="21"/>
  <c r="U424" i="21" s="1"/>
  <c r="U423" i="21"/>
  <c r="T423" i="21"/>
  <c r="U422" i="21"/>
  <c r="T422" i="21"/>
  <c r="T421" i="21"/>
  <c r="U421" i="21" s="1"/>
  <c r="U420" i="21"/>
  <c r="T420" i="21"/>
  <c r="T419" i="21"/>
  <c r="U419" i="21" s="1"/>
  <c r="U418" i="21"/>
  <c r="T418" i="21"/>
  <c r="T417" i="21"/>
  <c r="U417" i="21" s="1"/>
  <c r="T416" i="21"/>
  <c r="U416" i="21" s="1"/>
  <c r="T415" i="21"/>
  <c r="U415" i="21" s="1"/>
  <c r="T414" i="21"/>
  <c r="U414" i="21" s="1"/>
  <c r="T413" i="21"/>
  <c r="U413" i="21" s="1"/>
  <c r="T412" i="21"/>
  <c r="U412" i="21" s="1"/>
  <c r="U411" i="21"/>
  <c r="T411" i="21"/>
  <c r="T410" i="21"/>
  <c r="U410" i="21" s="1"/>
  <c r="T409" i="21"/>
  <c r="U409" i="21" s="1"/>
  <c r="T408" i="21"/>
  <c r="U408" i="21" s="1"/>
  <c r="T407" i="21"/>
  <c r="U407" i="21" s="1"/>
  <c r="T406" i="21"/>
  <c r="U406" i="21" s="1"/>
  <c r="T405" i="21"/>
  <c r="U405" i="21" s="1"/>
  <c r="U404" i="21"/>
  <c r="T404" i="21"/>
  <c r="T403" i="21"/>
  <c r="U403" i="21" s="1"/>
  <c r="T402" i="21"/>
  <c r="U402" i="21" s="1"/>
  <c r="T401" i="21"/>
  <c r="U401" i="21" s="1"/>
  <c r="T400" i="21"/>
  <c r="U400" i="21" s="1"/>
  <c r="U399" i="21"/>
  <c r="T399" i="21"/>
  <c r="U398" i="21"/>
  <c r="T398" i="21"/>
  <c r="T397" i="21"/>
  <c r="U397" i="21" s="1"/>
  <c r="T396" i="21"/>
  <c r="U396" i="21" s="1"/>
  <c r="U395" i="21"/>
  <c r="T395" i="21"/>
  <c r="T394" i="21"/>
  <c r="U394" i="21" s="1"/>
  <c r="T393" i="21"/>
  <c r="U393" i="21" s="1"/>
  <c r="T392" i="21"/>
  <c r="U392" i="21" s="1"/>
  <c r="U391" i="21"/>
  <c r="T391" i="21"/>
  <c r="U390" i="21"/>
  <c r="T390" i="21"/>
  <c r="T389" i="21"/>
  <c r="U389" i="21" s="1"/>
  <c r="U387" i="21"/>
  <c r="T387" i="21"/>
  <c r="T386" i="21"/>
  <c r="U386" i="21" s="1"/>
  <c r="U385" i="21"/>
  <c r="T385" i="21"/>
  <c r="T384" i="21"/>
  <c r="U384" i="21" s="1"/>
  <c r="U383" i="21"/>
  <c r="T383" i="21"/>
  <c r="T382" i="21"/>
  <c r="U382" i="21" s="1"/>
  <c r="U381" i="21"/>
  <c r="T381" i="21"/>
  <c r="T380" i="21"/>
  <c r="U380" i="21" s="1"/>
  <c r="T379" i="21"/>
  <c r="U379" i="21" s="1"/>
  <c r="U378" i="21"/>
  <c r="T378" i="21"/>
  <c r="T377" i="21"/>
  <c r="U377" i="21" s="1"/>
  <c r="U376" i="21"/>
  <c r="T376" i="21"/>
  <c r="T375" i="21"/>
  <c r="U375" i="21" s="1"/>
  <c r="U374" i="21"/>
  <c r="T374" i="21"/>
  <c r="T373" i="21"/>
  <c r="U373" i="21" s="1"/>
  <c r="U372" i="21"/>
  <c r="T372" i="21"/>
  <c r="T371" i="21"/>
  <c r="U371" i="21" s="1"/>
  <c r="U370" i="21"/>
  <c r="T370" i="21"/>
  <c r="T369" i="21"/>
  <c r="U369" i="21" s="1"/>
  <c r="T368" i="21"/>
  <c r="U368" i="21" s="1"/>
  <c r="T367" i="21"/>
  <c r="U367" i="21" s="1"/>
  <c r="U366" i="21"/>
  <c r="T366" i="21"/>
  <c r="T365" i="21"/>
  <c r="U365" i="21" s="1"/>
  <c r="T364" i="21"/>
  <c r="U364" i="21" s="1"/>
  <c r="U363" i="21"/>
  <c r="T363" i="21"/>
  <c r="T362" i="21"/>
  <c r="U362" i="21" s="1"/>
  <c r="U361" i="21"/>
  <c r="T361" i="21"/>
  <c r="T360" i="21"/>
  <c r="U360" i="21" s="1"/>
  <c r="U359" i="21"/>
  <c r="T359" i="21"/>
  <c r="U358" i="21"/>
  <c r="T358" i="21"/>
  <c r="U357" i="21"/>
  <c r="T357" i="21"/>
  <c r="U356" i="21"/>
  <c r="T356" i="21"/>
  <c r="U355" i="21"/>
  <c r="T355" i="21"/>
  <c r="U354" i="21"/>
  <c r="T354" i="21"/>
  <c r="T353" i="21"/>
  <c r="U353" i="21" s="1"/>
  <c r="U352" i="21"/>
  <c r="T352" i="21"/>
  <c r="U351" i="21"/>
  <c r="T351" i="21"/>
  <c r="T350" i="21"/>
  <c r="U350" i="21" s="1"/>
  <c r="U349" i="21"/>
  <c r="T349" i="21"/>
  <c r="T348" i="21"/>
  <c r="U348" i="21" s="1"/>
  <c r="T347" i="21"/>
  <c r="U347" i="21" s="1"/>
  <c r="T346" i="21"/>
  <c r="U346" i="21" s="1"/>
  <c r="U345" i="21"/>
  <c r="T345" i="21"/>
  <c r="U344" i="21"/>
  <c r="T344" i="21"/>
  <c r="T343" i="21"/>
  <c r="U343" i="21" s="1"/>
  <c r="U342" i="21"/>
  <c r="T342" i="21"/>
  <c r="U339" i="21"/>
  <c r="T339" i="21"/>
  <c r="U338" i="21"/>
  <c r="T338" i="21"/>
  <c r="U337" i="21"/>
  <c r="T337" i="21"/>
  <c r="U336" i="21"/>
  <c r="T336" i="21"/>
  <c r="U335" i="21"/>
  <c r="T335" i="21"/>
  <c r="U334" i="21"/>
  <c r="T334" i="21"/>
  <c r="T333" i="21"/>
  <c r="U333" i="21" s="1"/>
  <c r="U332" i="21"/>
  <c r="T332" i="21"/>
  <c r="T331" i="21"/>
  <c r="U331" i="21" s="1"/>
  <c r="T330" i="21"/>
  <c r="U330" i="21" s="1"/>
  <c r="U329" i="21"/>
  <c r="T329" i="21"/>
  <c r="T328" i="21"/>
  <c r="U328" i="21" s="1"/>
  <c r="U327" i="21"/>
  <c r="T327" i="21"/>
  <c r="T326" i="21"/>
  <c r="U326" i="21" s="1"/>
  <c r="T325" i="21"/>
  <c r="U325" i="21" s="1"/>
  <c r="U324" i="21"/>
  <c r="T324" i="21"/>
  <c r="U323" i="21"/>
  <c r="T323" i="21"/>
  <c r="T322" i="21"/>
  <c r="U322" i="21" s="1"/>
  <c r="U321" i="21"/>
  <c r="T321" i="21"/>
  <c r="T320" i="21"/>
  <c r="U320" i="21" s="1"/>
  <c r="U319" i="21"/>
  <c r="T319" i="21"/>
  <c r="U318" i="21"/>
  <c r="T318" i="21"/>
  <c r="U317" i="21"/>
  <c r="T317" i="21"/>
  <c r="T316" i="21"/>
  <c r="U316" i="21" s="1"/>
  <c r="U315" i="21"/>
  <c r="T315" i="21"/>
  <c r="U314" i="21"/>
  <c r="T314" i="21"/>
  <c r="T313" i="21"/>
  <c r="U313" i="21" s="1"/>
  <c r="U312" i="21"/>
  <c r="T312" i="21"/>
  <c r="U311" i="21"/>
  <c r="T311" i="21"/>
  <c r="U310" i="21"/>
  <c r="T310" i="21"/>
  <c r="T309" i="21"/>
  <c r="U309" i="21" s="1"/>
  <c r="U308" i="21"/>
  <c r="T308" i="21"/>
  <c r="T307" i="21"/>
  <c r="U307" i="21" s="1"/>
  <c r="U306" i="21"/>
  <c r="T306" i="21"/>
  <c r="T305" i="21"/>
  <c r="U305" i="21" s="1"/>
  <c r="T304" i="21"/>
  <c r="U304" i="21" s="1"/>
  <c r="U303" i="21"/>
  <c r="T303" i="21"/>
  <c r="T302" i="21"/>
  <c r="U302" i="21" s="1"/>
  <c r="T301" i="21"/>
  <c r="U301" i="21" s="1"/>
  <c r="U300" i="21"/>
  <c r="T300" i="21"/>
  <c r="T299" i="21"/>
  <c r="U299" i="21" s="1"/>
  <c r="U298" i="21"/>
  <c r="T298" i="21"/>
  <c r="T297" i="21"/>
  <c r="U297" i="21" s="1"/>
  <c r="U296" i="21"/>
  <c r="T296" i="21"/>
  <c r="T295" i="21"/>
  <c r="U295" i="21" s="1"/>
  <c r="U294" i="21"/>
  <c r="T294" i="21"/>
  <c r="U293" i="21"/>
  <c r="T293" i="21"/>
  <c r="T292" i="21"/>
  <c r="U292" i="21" s="1"/>
  <c r="U291" i="21"/>
  <c r="T291" i="21"/>
  <c r="U290" i="21"/>
  <c r="T290" i="21"/>
  <c r="T289" i="21"/>
  <c r="U289" i="21" s="1"/>
  <c r="T288" i="21"/>
  <c r="U288" i="21" s="1"/>
  <c r="T287" i="21"/>
  <c r="U287" i="21" s="1"/>
  <c r="T286" i="21"/>
  <c r="U286" i="21" s="1"/>
  <c r="U285" i="21"/>
  <c r="T285" i="21"/>
  <c r="T284" i="21"/>
  <c r="U284" i="21" s="1"/>
  <c r="T283" i="21"/>
  <c r="U283" i="21" s="1"/>
  <c r="T282" i="21"/>
  <c r="U282" i="21" s="1"/>
  <c r="T281" i="21"/>
  <c r="U281" i="21" s="1"/>
  <c r="U280" i="21"/>
  <c r="T280" i="21"/>
  <c r="T279" i="21"/>
  <c r="U279" i="21" s="1"/>
  <c r="U278" i="21"/>
  <c r="T278" i="21"/>
  <c r="U277" i="21"/>
  <c r="T277" i="21"/>
  <c r="T276" i="21"/>
  <c r="U276" i="21" s="1"/>
  <c r="U275" i="21"/>
  <c r="T275" i="21"/>
  <c r="T274" i="21"/>
  <c r="U274" i="21" s="1"/>
  <c r="T273" i="21"/>
  <c r="U273" i="21" s="1"/>
  <c r="T272" i="21"/>
  <c r="U272" i="21" s="1"/>
  <c r="T271" i="21"/>
  <c r="U271" i="21" s="1"/>
  <c r="T270" i="21"/>
  <c r="U270" i="21" s="1"/>
  <c r="U269" i="21"/>
  <c r="T269" i="21"/>
  <c r="U268" i="21"/>
  <c r="T268" i="21"/>
  <c r="T267" i="21"/>
  <c r="U267" i="21" s="1"/>
  <c r="U266" i="21"/>
  <c r="T266" i="21"/>
  <c r="U265" i="21"/>
  <c r="T265" i="21"/>
  <c r="T264" i="21"/>
  <c r="U264" i="21" s="1"/>
  <c r="T263" i="21"/>
  <c r="U263" i="21" s="1"/>
  <c r="T262" i="21"/>
  <c r="U262" i="21" s="1"/>
  <c r="U261" i="21"/>
  <c r="T261" i="21"/>
  <c r="T260" i="21"/>
  <c r="U260" i="21" s="1"/>
  <c r="U259" i="21"/>
  <c r="T259" i="21"/>
  <c r="T258" i="21"/>
  <c r="U258" i="21" s="1"/>
  <c r="U257" i="21"/>
  <c r="T257" i="21"/>
  <c r="T256" i="21"/>
  <c r="U256" i="21" s="1"/>
  <c r="U255" i="21"/>
  <c r="T255" i="21"/>
  <c r="T254" i="21"/>
  <c r="U254" i="21" s="1"/>
  <c r="T253" i="21"/>
  <c r="U253" i="21" s="1"/>
  <c r="T252" i="21"/>
  <c r="U252" i="21" s="1"/>
  <c r="T251" i="21"/>
  <c r="U251" i="21" s="1"/>
  <c r="T250" i="21"/>
  <c r="U250" i="21" s="1"/>
  <c r="U249" i="21"/>
  <c r="T249" i="21"/>
  <c r="U248" i="21"/>
  <c r="T248" i="21"/>
  <c r="T247" i="21"/>
  <c r="U247" i="21" s="1"/>
  <c r="T246" i="21"/>
  <c r="U246" i="21" s="1"/>
  <c r="T245" i="21"/>
  <c r="U245" i="21" s="1"/>
  <c r="U244" i="21"/>
  <c r="T244" i="21"/>
  <c r="T243" i="21"/>
  <c r="U243" i="21" s="1"/>
  <c r="U242" i="21"/>
  <c r="T242" i="21"/>
  <c r="U239" i="21"/>
  <c r="T239" i="21"/>
  <c r="T238" i="21"/>
  <c r="U238" i="21" s="1"/>
  <c r="U237" i="21"/>
  <c r="T237" i="21"/>
  <c r="U236" i="21"/>
  <c r="T236" i="21"/>
  <c r="U235" i="21"/>
  <c r="T235" i="21"/>
  <c r="U234" i="21"/>
  <c r="T234" i="21"/>
  <c r="U233" i="21"/>
  <c r="T233" i="21"/>
  <c r="U232" i="21"/>
  <c r="T232" i="21"/>
  <c r="U231" i="21"/>
  <c r="T231" i="21"/>
  <c r="U230" i="21"/>
  <c r="T230" i="21"/>
  <c r="U229" i="21"/>
  <c r="T229" i="21"/>
  <c r="U228" i="21"/>
  <c r="T228" i="21"/>
  <c r="T227" i="21"/>
  <c r="U227" i="21" s="1"/>
  <c r="T226" i="21"/>
  <c r="U226" i="21" s="1"/>
  <c r="T225" i="21"/>
  <c r="U225" i="21" s="1"/>
  <c r="T224" i="21"/>
  <c r="U224" i="21" s="1"/>
  <c r="T223" i="21"/>
  <c r="U223" i="21" s="1"/>
  <c r="T222" i="21"/>
  <c r="U222" i="21" s="1"/>
  <c r="T221" i="21"/>
  <c r="U221" i="21" s="1"/>
  <c r="T220" i="21"/>
  <c r="U220" i="21" s="1"/>
  <c r="T219" i="21"/>
  <c r="U219" i="21" s="1"/>
  <c r="U218" i="21"/>
  <c r="T218" i="21"/>
  <c r="U217" i="21"/>
  <c r="T217" i="21"/>
  <c r="U216" i="21"/>
  <c r="T216" i="21"/>
  <c r="U215" i="21"/>
  <c r="T215" i="21"/>
  <c r="U214" i="21"/>
  <c r="T214" i="21"/>
  <c r="U213" i="21"/>
  <c r="T213" i="21"/>
  <c r="T212" i="21"/>
  <c r="U212" i="21" s="1"/>
  <c r="T211" i="21"/>
  <c r="U211" i="21" s="1"/>
  <c r="T210" i="21"/>
  <c r="U210" i="21" s="1"/>
  <c r="T209" i="21"/>
  <c r="U209" i="21" s="1"/>
  <c r="T208" i="21"/>
  <c r="U208" i="21" s="1"/>
  <c r="U207" i="21"/>
  <c r="T207" i="21"/>
  <c r="U206" i="21"/>
  <c r="T206" i="21"/>
  <c r="T205" i="21"/>
  <c r="U205" i="21" s="1"/>
  <c r="T204" i="21"/>
  <c r="U204" i="21" s="1"/>
  <c r="U203" i="21"/>
  <c r="T203" i="21"/>
  <c r="U202" i="21"/>
  <c r="T202" i="21"/>
  <c r="T201" i="21"/>
  <c r="U201" i="21" s="1"/>
  <c r="T200" i="21"/>
  <c r="U200" i="21" s="1"/>
  <c r="U199" i="21"/>
  <c r="T199" i="21"/>
  <c r="U198" i="21"/>
  <c r="T198" i="21"/>
  <c r="T197" i="21"/>
  <c r="U197" i="21" s="1"/>
  <c r="T196" i="21"/>
  <c r="U196" i="21" s="1"/>
  <c r="U195" i="21"/>
  <c r="T195" i="21"/>
  <c r="U194" i="21"/>
  <c r="T194" i="21"/>
  <c r="U193" i="21"/>
  <c r="T193" i="21"/>
  <c r="U192" i="21"/>
  <c r="T192" i="21"/>
  <c r="T189" i="21"/>
  <c r="U189" i="21" s="1"/>
  <c r="U188" i="21"/>
  <c r="T188" i="21"/>
  <c r="U187" i="21"/>
  <c r="T187" i="21"/>
  <c r="T175" i="21"/>
  <c r="U175" i="21" s="1"/>
  <c r="U174" i="21"/>
  <c r="T174" i="21"/>
  <c r="T173" i="21"/>
  <c r="U173" i="21" s="1"/>
  <c r="U172" i="21"/>
  <c r="T172" i="21"/>
  <c r="U171" i="21"/>
  <c r="T171" i="21"/>
  <c r="U170" i="21"/>
  <c r="T170" i="21"/>
  <c r="T169" i="21"/>
  <c r="U169" i="21" s="1"/>
  <c r="T168" i="21"/>
  <c r="U168" i="21" s="1"/>
  <c r="T167" i="21"/>
  <c r="U167" i="21" s="1"/>
  <c r="U166" i="21"/>
  <c r="T166" i="21"/>
  <c r="T165" i="21"/>
  <c r="U165" i="21" s="1"/>
  <c r="U164" i="21"/>
  <c r="T164" i="21"/>
  <c r="T163" i="21"/>
  <c r="U163" i="21" s="1"/>
  <c r="T162" i="21"/>
  <c r="U162" i="21" s="1"/>
  <c r="U161" i="21"/>
  <c r="T161" i="21"/>
  <c r="U160" i="21"/>
  <c r="T160" i="21"/>
  <c r="U159" i="21"/>
  <c r="T159" i="21"/>
  <c r="U158" i="21"/>
  <c r="T158" i="21"/>
  <c r="T157" i="21"/>
  <c r="U157" i="21" s="1"/>
  <c r="U156" i="21"/>
  <c r="T156" i="21"/>
  <c r="T155" i="21"/>
  <c r="U155" i="21" s="1"/>
  <c r="T154" i="21"/>
  <c r="U154" i="21" s="1"/>
  <c r="U153" i="21"/>
  <c r="T153" i="21"/>
  <c r="U152" i="21"/>
  <c r="T152" i="21"/>
  <c r="T151" i="21"/>
  <c r="U151" i="21" s="1"/>
  <c r="T150" i="21"/>
  <c r="U150" i="21" s="1"/>
  <c r="U149" i="21"/>
  <c r="T149" i="21"/>
  <c r="T148" i="21"/>
  <c r="U148" i="21" s="1"/>
  <c r="T147" i="21"/>
  <c r="U147" i="21" s="1"/>
  <c r="T146" i="21"/>
  <c r="U146" i="21" s="1"/>
  <c r="U145" i="21"/>
  <c r="T145" i="21"/>
  <c r="U144" i="21"/>
  <c r="T144" i="21"/>
  <c r="T143" i="21"/>
  <c r="U143" i="21" s="1"/>
  <c r="T142" i="21"/>
  <c r="U142" i="21" s="1"/>
  <c r="U141" i="21"/>
  <c r="T141" i="21"/>
  <c r="U140" i="21"/>
  <c r="T140" i="21"/>
  <c r="U139" i="21"/>
  <c r="T139" i="21"/>
  <c r="T138" i="21"/>
  <c r="U138" i="21" s="1"/>
  <c r="U137" i="21"/>
  <c r="T137" i="21"/>
  <c r="T136" i="21"/>
  <c r="U136" i="21" s="1"/>
  <c r="T135" i="21"/>
  <c r="U135" i="21" s="1"/>
  <c r="T134" i="21"/>
  <c r="U134" i="21" s="1"/>
  <c r="U133" i="21"/>
  <c r="T133" i="21"/>
  <c r="T132" i="21"/>
  <c r="U132" i="21" s="1"/>
  <c r="T131" i="21"/>
  <c r="U131" i="21" s="1"/>
  <c r="U130" i="21"/>
  <c r="T130" i="21"/>
  <c r="T129" i="21"/>
  <c r="U129" i="21" s="1"/>
  <c r="T128" i="21"/>
  <c r="U128" i="21" s="1"/>
  <c r="T127" i="21"/>
  <c r="U127" i="21" s="1"/>
  <c r="U126" i="21"/>
  <c r="T126" i="21"/>
  <c r="U125" i="21"/>
  <c r="T125" i="21"/>
  <c r="T124" i="21"/>
  <c r="U124" i="21" s="1"/>
  <c r="U123" i="21"/>
  <c r="T123" i="21"/>
  <c r="T122" i="21"/>
  <c r="U122" i="21" s="1"/>
  <c r="U121" i="21"/>
  <c r="T121" i="21"/>
  <c r="T120" i="21"/>
  <c r="U120" i="21" s="1"/>
  <c r="U119" i="21"/>
  <c r="T119" i="21"/>
  <c r="T116" i="21"/>
  <c r="U116" i="21" s="1"/>
  <c r="U115" i="21"/>
  <c r="T115" i="21"/>
  <c r="T114" i="21"/>
  <c r="U114" i="21" s="1"/>
  <c r="U113" i="21"/>
  <c r="T113" i="21"/>
  <c r="T112" i="21"/>
  <c r="U112" i="21" s="1"/>
  <c r="U111" i="21"/>
  <c r="T111" i="21"/>
  <c r="T110" i="21"/>
  <c r="U110" i="21" s="1"/>
  <c r="U109" i="21"/>
  <c r="T109" i="21"/>
  <c r="U108" i="21"/>
  <c r="T108" i="21"/>
  <c r="T107" i="21"/>
  <c r="U107" i="21" s="1"/>
  <c r="T106" i="21"/>
  <c r="U106" i="21" s="1"/>
  <c r="T105" i="21"/>
  <c r="U105" i="21" s="1"/>
  <c r="T104" i="21"/>
  <c r="U104" i="21" s="1"/>
  <c r="T103" i="21"/>
  <c r="U103" i="21" s="1"/>
  <c r="U101" i="21"/>
  <c r="T101" i="21"/>
  <c r="T100" i="21"/>
  <c r="U100" i="21" s="1"/>
  <c r="U99" i="21"/>
  <c r="T99" i="21"/>
  <c r="T98" i="21"/>
  <c r="U98" i="21" s="1"/>
  <c r="U97" i="21"/>
  <c r="T97" i="21"/>
  <c r="U96" i="21"/>
  <c r="T96" i="21"/>
  <c r="T95" i="21"/>
  <c r="U95" i="21" s="1"/>
  <c r="U94" i="21"/>
  <c r="T94" i="21"/>
  <c r="T93" i="21"/>
  <c r="U93" i="21" s="1"/>
  <c r="U92" i="21"/>
  <c r="T92" i="21"/>
  <c r="T91" i="21"/>
  <c r="U91" i="21" s="1"/>
  <c r="U90" i="21"/>
  <c r="T90" i="21"/>
  <c r="T89" i="21"/>
  <c r="U89" i="21" s="1"/>
  <c r="U88" i="21"/>
  <c r="T88" i="21"/>
  <c r="T87" i="21"/>
  <c r="U87" i="21" s="1"/>
  <c r="T86" i="21"/>
  <c r="U86" i="21" s="1"/>
  <c r="U85" i="21"/>
  <c r="T85" i="21"/>
  <c r="U84" i="21"/>
  <c r="T84" i="21"/>
  <c r="T83" i="21"/>
  <c r="U83" i="21" s="1"/>
  <c r="U82" i="21"/>
  <c r="T82" i="21"/>
  <c r="U81" i="21"/>
  <c r="T81" i="21"/>
  <c r="T80" i="21"/>
  <c r="U80" i="21" s="1"/>
  <c r="U79" i="21"/>
  <c r="T79" i="21"/>
  <c r="T78" i="21"/>
  <c r="U78" i="21" s="1"/>
  <c r="U77" i="21"/>
  <c r="T77" i="21"/>
  <c r="T76" i="21"/>
  <c r="U76" i="21" s="1"/>
  <c r="U75" i="21"/>
  <c r="T75" i="21"/>
  <c r="T74" i="21"/>
  <c r="U74" i="21" s="1"/>
  <c r="U73" i="21"/>
  <c r="T73" i="21"/>
  <c r="T72" i="21"/>
  <c r="U72" i="21" s="1"/>
  <c r="U71" i="21"/>
  <c r="T71" i="21"/>
  <c r="U70" i="21"/>
  <c r="T70" i="21"/>
  <c r="U69" i="21"/>
  <c r="T69" i="21"/>
  <c r="U68" i="21"/>
  <c r="T68" i="21"/>
  <c r="T67" i="21"/>
  <c r="U67" i="21" s="1"/>
  <c r="U66" i="21"/>
  <c r="T66" i="21"/>
  <c r="T65" i="21"/>
  <c r="U65" i="21" s="1"/>
  <c r="T64" i="21"/>
  <c r="U64" i="21" s="1"/>
  <c r="U63" i="21"/>
  <c r="T63" i="21"/>
  <c r="T62" i="21"/>
  <c r="U62" i="21" s="1"/>
  <c r="U61" i="21"/>
  <c r="T61" i="21"/>
  <c r="U60" i="21"/>
  <c r="T60" i="21"/>
  <c r="T59" i="21"/>
  <c r="U59" i="21" s="1"/>
  <c r="U58" i="21"/>
  <c r="T58" i="21"/>
  <c r="U57" i="21"/>
  <c r="T57" i="21"/>
  <c r="T56" i="21"/>
  <c r="U56" i="21" s="1"/>
  <c r="U55" i="21"/>
  <c r="T55" i="21"/>
  <c r="T54" i="21"/>
  <c r="U54" i="21" s="1"/>
  <c r="U53" i="21"/>
  <c r="T53" i="21"/>
  <c r="T52" i="21"/>
  <c r="U52" i="21" s="1"/>
  <c r="U51" i="21"/>
  <c r="T51" i="21"/>
  <c r="T50" i="21"/>
  <c r="U50" i="21" s="1"/>
  <c r="U49" i="21"/>
  <c r="T49" i="21"/>
  <c r="U48" i="21"/>
  <c r="T48" i="21"/>
  <c r="T47" i="21"/>
  <c r="U47" i="21" s="1"/>
  <c r="U46" i="21"/>
  <c r="T46" i="21"/>
  <c r="T45" i="21"/>
  <c r="U45" i="21" s="1"/>
  <c r="U44" i="21"/>
  <c r="T44" i="21"/>
  <c r="T43" i="21"/>
  <c r="U43" i="21" s="1"/>
  <c r="U42" i="21"/>
  <c r="T42" i="21"/>
  <c r="T41" i="21"/>
  <c r="U41" i="21" s="1"/>
  <c r="T40" i="21"/>
  <c r="U40" i="21" s="1"/>
  <c r="U39" i="21"/>
  <c r="T39" i="21"/>
  <c r="T38" i="21"/>
  <c r="U38" i="21" s="1"/>
  <c r="T37" i="21"/>
  <c r="U37" i="21" s="1"/>
  <c r="U36" i="21"/>
  <c r="T36" i="21"/>
  <c r="T35" i="21"/>
  <c r="U35" i="21" s="1"/>
  <c r="U34" i="21"/>
  <c r="T34" i="21"/>
  <c r="U33" i="21"/>
  <c r="T33" i="21"/>
  <c r="T32" i="21"/>
  <c r="U32" i="21" s="1"/>
  <c r="U31" i="21"/>
  <c r="T31" i="21"/>
  <c r="T30" i="21"/>
  <c r="U30" i="21" s="1"/>
  <c r="U29" i="21"/>
  <c r="T29" i="21"/>
  <c r="T28" i="21"/>
  <c r="U28" i="21" s="1"/>
  <c r="T27" i="21"/>
  <c r="U27" i="21" s="1"/>
  <c r="T26" i="21"/>
  <c r="U26" i="21" s="1"/>
  <c r="T25" i="21"/>
  <c r="U25" i="21" s="1"/>
  <c r="U24" i="21"/>
  <c r="T24" i="21"/>
  <c r="T23" i="21"/>
  <c r="U23" i="21" s="1"/>
  <c r="U22" i="21"/>
  <c r="T22" i="21"/>
  <c r="T21" i="21"/>
  <c r="U21" i="21" s="1"/>
  <c r="U20" i="21"/>
  <c r="T20" i="21"/>
  <c r="T19" i="21"/>
  <c r="U19" i="21" s="1"/>
  <c r="U18" i="21"/>
  <c r="T18" i="21"/>
  <c r="U17" i="21"/>
  <c r="T17" i="21"/>
  <c r="T16" i="21"/>
  <c r="U16" i="21" s="1"/>
  <c r="U15" i="21"/>
  <c r="T15" i="21"/>
  <c r="T14" i="21"/>
  <c r="U14" i="21" s="1"/>
  <c r="T12" i="21"/>
  <c r="U12" i="21" s="1"/>
  <c r="T11" i="21"/>
  <c r="U11" i="21" s="1"/>
  <c r="T10" i="21"/>
  <c r="U10" i="21" s="1"/>
  <c r="T9" i="21"/>
  <c r="T8" i="21"/>
  <c r="U8" i="21" s="1"/>
  <c r="T3" i="21"/>
  <c r="T2" i="21"/>
  <c r="D589" i="26" l="1"/>
  <c r="D589" i="27" s="1"/>
  <c r="D577" i="27"/>
  <c r="T1093" i="21"/>
  <c r="U9" i="21"/>
  <c r="T1092" i="21"/>
  <c r="W8" i="21"/>
  <c r="V1093" i="21"/>
  <c r="I42" i="25"/>
  <c r="H42" i="25"/>
  <c r="G42" i="25"/>
  <c r="F42" i="25"/>
  <c r="E42" i="25"/>
  <c r="I41" i="25"/>
  <c r="H41" i="25"/>
  <c r="G41" i="25"/>
  <c r="F41" i="25"/>
  <c r="E41" i="25"/>
  <c r="I40" i="25"/>
  <c r="H40" i="25"/>
  <c r="G40" i="25"/>
  <c r="F40" i="25"/>
  <c r="E40" i="25"/>
  <c r="I39" i="25"/>
  <c r="F15" i="24" s="1"/>
  <c r="F43" i="24" s="1"/>
  <c r="H39" i="25"/>
  <c r="G39" i="25"/>
  <c r="D15" i="24" s="1"/>
  <c r="D43" i="24" s="1"/>
  <c r="F39" i="25"/>
  <c r="C15" i="24" s="1"/>
  <c r="C43" i="24" s="1"/>
  <c r="E39" i="25"/>
  <c r="I37" i="25"/>
  <c r="H37" i="25"/>
  <c r="G37" i="25"/>
  <c r="F37" i="25"/>
  <c r="K37" i="25" s="1"/>
  <c r="E37" i="25"/>
  <c r="J37" i="25" s="1"/>
  <c r="I35" i="25"/>
  <c r="H35" i="25"/>
  <c r="G35" i="25"/>
  <c r="F35" i="25"/>
  <c r="E35" i="25"/>
  <c r="I34" i="25"/>
  <c r="H34" i="25"/>
  <c r="G34" i="25"/>
  <c r="F34" i="25"/>
  <c r="E34" i="25"/>
  <c r="I31" i="25"/>
  <c r="H31" i="25"/>
  <c r="G31" i="25"/>
  <c r="F31" i="25"/>
  <c r="E31" i="25"/>
  <c r="I30" i="25"/>
  <c r="H30" i="25"/>
  <c r="G30" i="25"/>
  <c r="F30" i="25"/>
  <c r="E30" i="25"/>
  <c r="I29" i="25"/>
  <c r="H29" i="25"/>
  <c r="G29" i="25"/>
  <c r="F29" i="25"/>
  <c r="E29" i="25"/>
  <c r="I28" i="25"/>
  <c r="H28" i="25"/>
  <c r="G28" i="25"/>
  <c r="F28" i="25"/>
  <c r="K28" i="25" s="1"/>
  <c r="E28" i="25"/>
  <c r="I27" i="25"/>
  <c r="H27" i="25"/>
  <c r="G27" i="25"/>
  <c r="F27" i="25"/>
  <c r="E27" i="25"/>
  <c r="I26" i="25"/>
  <c r="H26" i="25"/>
  <c r="G26" i="25"/>
  <c r="F26" i="25"/>
  <c r="E26" i="25"/>
  <c r="I25" i="25"/>
  <c r="H25" i="25"/>
  <c r="G25" i="25"/>
  <c r="F25" i="25"/>
  <c r="E25" i="25"/>
  <c r="I23" i="25"/>
  <c r="H23" i="25"/>
  <c r="G23" i="25"/>
  <c r="F23" i="25"/>
  <c r="E23" i="25"/>
  <c r="I22" i="25"/>
  <c r="H22" i="25"/>
  <c r="G22" i="25"/>
  <c r="F22" i="25"/>
  <c r="E22" i="25"/>
  <c r="I21" i="25"/>
  <c r="H21" i="25"/>
  <c r="G21" i="25"/>
  <c r="E21" i="25"/>
  <c r="I20" i="25"/>
  <c r="H20" i="25"/>
  <c r="G20" i="25"/>
  <c r="F20" i="25"/>
  <c r="E20" i="25"/>
  <c r="I19" i="25"/>
  <c r="H19" i="25"/>
  <c r="G19" i="25"/>
  <c r="F19" i="25"/>
  <c r="E19" i="25"/>
  <c r="I18" i="25"/>
  <c r="H18" i="25"/>
  <c r="G18" i="25"/>
  <c r="F18" i="25"/>
  <c r="E18" i="25"/>
  <c r="I17" i="25"/>
  <c r="H17" i="25"/>
  <c r="G17" i="25"/>
  <c r="F17" i="25"/>
  <c r="E17" i="25"/>
  <c r="I16" i="25"/>
  <c r="H16" i="25"/>
  <c r="G16" i="25"/>
  <c r="F16" i="25"/>
  <c r="E16" i="25"/>
  <c r="I14" i="25"/>
  <c r="H14" i="25"/>
  <c r="G14" i="25"/>
  <c r="F14" i="25"/>
  <c r="E14" i="25"/>
  <c r="I13" i="25"/>
  <c r="H13" i="25"/>
  <c r="G13" i="25"/>
  <c r="F13" i="25"/>
  <c r="E13" i="25"/>
  <c r="I12" i="25"/>
  <c r="H12" i="25"/>
  <c r="G12" i="25"/>
  <c r="F12" i="25"/>
  <c r="E12" i="25"/>
  <c r="I11" i="25"/>
  <c r="H11" i="25"/>
  <c r="G11" i="25"/>
  <c r="F11" i="25"/>
  <c r="E11" i="25"/>
  <c r="I10" i="25"/>
  <c r="H10" i="25"/>
  <c r="G10" i="25"/>
  <c r="F10" i="25"/>
  <c r="E10" i="25"/>
  <c r="I9" i="25"/>
  <c r="H9" i="25"/>
  <c r="G9" i="25"/>
  <c r="F9" i="25"/>
  <c r="E9" i="25"/>
  <c r="I8" i="25"/>
  <c r="H8" i="25"/>
  <c r="G8" i="25"/>
  <c r="F8" i="25"/>
  <c r="E8" i="25"/>
  <c r="I7" i="25"/>
  <c r="H7" i="25"/>
  <c r="G7" i="25"/>
  <c r="K2" i="25" s="1"/>
  <c r="F7" i="25"/>
  <c r="E7" i="25"/>
  <c r="I6" i="25"/>
  <c r="H6" i="25"/>
  <c r="G6" i="25"/>
  <c r="F6" i="25"/>
  <c r="E6" i="25"/>
  <c r="B48" i="24"/>
  <c r="F38" i="24"/>
  <c r="E38" i="24"/>
  <c r="E23" i="24"/>
  <c r="F23" i="24" s="1"/>
  <c r="D23" i="24"/>
  <c r="C23" i="24"/>
  <c r="B23" i="24"/>
  <c r="F21" i="24"/>
  <c r="F49" i="24" s="1"/>
  <c r="D21" i="24"/>
  <c r="D49" i="24" s="1"/>
  <c r="C21" i="24"/>
  <c r="C49" i="24" s="1"/>
  <c r="B21" i="24"/>
  <c r="B49" i="24" s="1"/>
  <c r="F20" i="24"/>
  <c r="F48" i="24" s="1"/>
  <c r="E20" i="24"/>
  <c r="E21" i="24" s="1"/>
  <c r="E49" i="24" s="1"/>
  <c r="D20" i="24"/>
  <c r="D48" i="24" s="1"/>
  <c r="C20" i="24"/>
  <c r="C48" i="24" s="1"/>
  <c r="B20" i="24"/>
  <c r="B15" i="24"/>
  <c r="B43" i="24" s="1"/>
  <c r="L118" i="22"/>
  <c r="L118" i="23" s="1"/>
  <c r="K118" i="22"/>
  <c r="K118" i="23" s="1"/>
  <c r="J118" i="22"/>
  <c r="J118" i="23" s="1"/>
  <c r="I118" i="22"/>
  <c r="H118" i="22"/>
  <c r="H118" i="23" s="1"/>
  <c r="L117" i="22"/>
  <c r="L117" i="23" s="1"/>
  <c r="K117" i="22"/>
  <c r="K117" i="23" s="1"/>
  <c r="J117" i="22"/>
  <c r="J117" i="23" s="1"/>
  <c r="I117" i="22"/>
  <c r="H117" i="22"/>
  <c r="H117" i="23" s="1"/>
  <c r="L116" i="22"/>
  <c r="K116" i="22"/>
  <c r="K116" i="23" s="1"/>
  <c r="J116" i="22"/>
  <c r="J116" i="23" s="1"/>
  <c r="I116" i="22"/>
  <c r="N116" i="22" s="1"/>
  <c r="N116" i="23" s="1"/>
  <c r="H116" i="22"/>
  <c r="H116" i="23" s="1"/>
  <c r="L115" i="22"/>
  <c r="L115" i="23" s="1"/>
  <c r="K115" i="22"/>
  <c r="K115" i="23" s="1"/>
  <c r="J115" i="22"/>
  <c r="J115" i="23" s="1"/>
  <c r="I115" i="22"/>
  <c r="I115" i="23" s="1"/>
  <c r="H115" i="22"/>
  <c r="H115" i="23" s="1"/>
  <c r="L114" i="22"/>
  <c r="L114" i="23" s="1"/>
  <c r="K114" i="22"/>
  <c r="K114" i="23" s="1"/>
  <c r="J114" i="22"/>
  <c r="J114" i="23" s="1"/>
  <c r="I114" i="22"/>
  <c r="I114" i="23" s="1"/>
  <c r="H114" i="22"/>
  <c r="H114" i="23" s="1"/>
  <c r="L113" i="22"/>
  <c r="L113" i="23" s="1"/>
  <c r="K113" i="22"/>
  <c r="K113" i="23" s="1"/>
  <c r="J113" i="22"/>
  <c r="I113" i="22"/>
  <c r="I113" i="23" s="1"/>
  <c r="H113" i="22"/>
  <c r="L106" i="22"/>
  <c r="K106" i="22"/>
  <c r="K106" i="23" s="1"/>
  <c r="J106" i="22"/>
  <c r="J106" i="23" s="1"/>
  <c r="I106" i="22"/>
  <c r="I106" i="23" s="1"/>
  <c r="H106" i="22"/>
  <c r="H106" i="23" s="1"/>
  <c r="L105" i="22"/>
  <c r="K105" i="22"/>
  <c r="J105" i="22"/>
  <c r="I105" i="22"/>
  <c r="I105" i="23" s="1"/>
  <c r="H105" i="22"/>
  <c r="L103" i="22"/>
  <c r="L103" i="23" s="1"/>
  <c r="K103" i="22"/>
  <c r="K103" i="23" s="1"/>
  <c r="J103" i="22"/>
  <c r="J103" i="23" s="1"/>
  <c r="I103" i="22"/>
  <c r="I103" i="23" s="1"/>
  <c r="H103" i="22"/>
  <c r="H103" i="23" s="1"/>
  <c r="L102" i="22"/>
  <c r="K102" i="22"/>
  <c r="K102" i="23" s="1"/>
  <c r="J102" i="22"/>
  <c r="J102" i="23" s="1"/>
  <c r="I102" i="22"/>
  <c r="N102" i="22" s="1"/>
  <c r="N102" i="23" s="1"/>
  <c r="H102" i="22"/>
  <c r="H102" i="23" s="1"/>
  <c r="L97" i="22"/>
  <c r="K97" i="22"/>
  <c r="J97" i="22"/>
  <c r="I97" i="22"/>
  <c r="I97" i="23" s="1"/>
  <c r="H97" i="22"/>
  <c r="H97" i="23" s="1"/>
  <c r="L96" i="22"/>
  <c r="L96" i="23" s="1"/>
  <c r="K96" i="22"/>
  <c r="K96" i="23" s="1"/>
  <c r="J96" i="22"/>
  <c r="D17" i="24" s="1"/>
  <c r="D45" i="24" s="1"/>
  <c r="I96" i="22"/>
  <c r="H96" i="22"/>
  <c r="B17" i="24" s="1"/>
  <c r="B45" i="24" s="1"/>
  <c r="L92" i="22"/>
  <c r="L92" i="23" s="1"/>
  <c r="K92" i="22"/>
  <c r="J92" i="22"/>
  <c r="J92" i="23" s="1"/>
  <c r="I92" i="22"/>
  <c r="I92" i="23" s="1"/>
  <c r="H92" i="22"/>
  <c r="H92" i="23" s="1"/>
  <c r="L91" i="22"/>
  <c r="K91" i="22"/>
  <c r="K91" i="23" s="1"/>
  <c r="J91" i="22"/>
  <c r="I91" i="22"/>
  <c r="C12" i="24" s="1"/>
  <c r="C40" i="24" s="1"/>
  <c r="H91" i="22"/>
  <c r="L85" i="22"/>
  <c r="L85" i="23" s="1"/>
  <c r="K85" i="22"/>
  <c r="K85" i="23" s="1"/>
  <c r="J85" i="22"/>
  <c r="J85" i="23" s="1"/>
  <c r="I85" i="22"/>
  <c r="I85" i="23" s="1"/>
  <c r="H85" i="22"/>
  <c r="H85" i="23" s="1"/>
  <c r="L84" i="22"/>
  <c r="L84" i="23" s="1"/>
  <c r="K84" i="22"/>
  <c r="K84" i="23" s="1"/>
  <c r="J84" i="22"/>
  <c r="J84" i="23" s="1"/>
  <c r="I84" i="22"/>
  <c r="I84" i="23" s="1"/>
  <c r="H84" i="22"/>
  <c r="H84" i="23" s="1"/>
  <c r="L83" i="22"/>
  <c r="L83" i="23" s="1"/>
  <c r="K83" i="22"/>
  <c r="K83" i="23" s="1"/>
  <c r="J83" i="22"/>
  <c r="J83" i="23" s="1"/>
  <c r="I83" i="22"/>
  <c r="H83" i="22"/>
  <c r="H83" i="23" s="1"/>
  <c r="L82" i="22"/>
  <c r="L82" i="23" s="1"/>
  <c r="K82" i="22"/>
  <c r="K82" i="23" s="1"/>
  <c r="J82" i="22"/>
  <c r="J82" i="23" s="1"/>
  <c r="I82" i="22"/>
  <c r="H82" i="22"/>
  <c r="H82" i="23" s="1"/>
  <c r="L80" i="22"/>
  <c r="L80" i="23" s="1"/>
  <c r="K80" i="22"/>
  <c r="K80" i="23" s="1"/>
  <c r="J80" i="22"/>
  <c r="J80" i="23" s="1"/>
  <c r="I80" i="22"/>
  <c r="H80" i="22"/>
  <c r="H80" i="23" s="1"/>
  <c r="L79" i="22"/>
  <c r="L79" i="23" s="1"/>
  <c r="K79" i="22"/>
  <c r="K79" i="23" s="1"/>
  <c r="J79" i="22"/>
  <c r="J79" i="23" s="1"/>
  <c r="I79" i="22"/>
  <c r="I79" i="23" s="1"/>
  <c r="H79" i="22"/>
  <c r="H79" i="23" s="1"/>
  <c r="L77" i="22"/>
  <c r="K77" i="22"/>
  <c r="K77" i="23" s="1"/>
  <c r="J77" i="22"/>
  <c r="J77" i="23" s="1"/>
  <c r="I77" i="22"/>
  <c r="I77" i="23" s="1"/>
  <c r="H77" i="22"/>
  <c r="H77" i="23" s="1"/>
  <c r="L76" i="22"/>
  <c r="L76" i="23" s="1"/>
  <c r="K76" i="22"/>
  <c r="K76" i="23" s="1"/>
  <c r="J76" i="22"/>
  <c r="J76" i="23" s="1"/>
  <c r="I76" i="22"/>
  <c r="I76" i="23" s="1"/>
  <c r="H76" i="22"/>
  <c r="H76" i="23" s="1"/>
  <c r="L75" i="22"/>
  <c r="L75" i="23" s="1"/>
  <c r="K75" i="22"/>
  <c r="K75" i="23" s="1"/>
  <c r="J75" i="22"/>
  <c r="J75" i="23" s="1"/>
  <c r="I75" i="22"/>
  <c r="H75" i="22"/>
  <c r="H75" i="23" s="1"/>
  <c r="L74" i="22"/>
  <c r="L74" i="23" s="1"/>
  <c r="K74" i="22"/>
  <c r="K74" i="23" s="1"/>
  <c r="J74" i="22"/>
  <c r="J74" i="23" s="1"/>
  <c r="I74" i="22"/>
  <c r="H74" i="22"/>
  <c r="H74" i="23" s="1"/>
  <c r="L72" i="22"/>
  <c r="L72" i="23" s="1"/>
  <c r="K72" i="22"/>
  <c r="K72" i="23" s="1"/>
  <c r="J72" i="22"/>
  <c r="J72" i="23" s="1"/>
  <c r="I72" i="22"/>
  <c r="I72" i="23" s="1"/>
  <c r="H72" i="22"/>
  <c r="H72" i="23" s="1"/>
  <c r="L71" i="22"/>
  <c r="L71" i="23" s="1"/>
  <c r="K71" i="22"/>
  <c r="K71" i="23" s="1"/>
  <c r="J71" i="22"/>
  <c r="J71" i="23" s="1"/>
  <c r="I71" i="22"/>
  <c r="H71" i="22"/>
  <c r="H71" i="23" s="1"/>
  <c r="L70" i="22"/>
  <c r="L70" i="23" s="1"/>
  <c r="K70" i="22"/>
  <c r="K70" i="23" s="1"/>
  <c r="J70" i="22"/>
  <c r="J70" i="23" s="1"/>
  <c r="I70" i="22"/>
  <c r="I70" i="23" s="1"/>
  <c r="H70" i="22"/>
  <c r="H70" i="23" s="1"/>
  <c r="L69" i="22"/>
  <c r="K69" i="22"/>
  <c r="K69" i="23" s="1"/>
  <c r="J69" i="22"/>
  <c r="J69" i="23" s="1"/>
  <c r="I69" i="22"/>
  <c r="I69" i="23" s="1"/>
  <c r="H69" i="22"/>
  <c r="H69" i="23" s="1"/>
  <c r="L68" i="22"/>
  <c r="L68" i="23" s="1"/>
  <c r="K68" i="22"/>
  <c r="K68" i="23" s="1"/>
  <c r="J68" i="22"/>
  <c r="J68" i="23" s="1"/>
  <c r="I68" i="22"/>
  <c r="I68" i="23" s="1"/>
  <c r="H68" i="22"/>
  <c r="H68" i="23" s="1"/>
  <c r="L67" i="22"/>
  <c r="L67" i="23" s="1"/>
  <c r="K67" i="22"/>
  <c r="K67" i="23" s="1"/>
  <c r="J67" i="22"/>
  <c r="I67" i="22"/>
  <c r="H67" i="22"/>
  <c r="H67" i="23" s="1"/>
  <c r="L65" i="22"/>
  <c r="K65" i="22"/>
  <c r="K65" i="23" s="1"/>
  <c r="J65" i="22"/>
  <c r="J65" i="23" s="1"/>
  <c r="I65" i="22"/>
  <c r="I65" i="23" s="1"/>
  <c r="H65" i="22"/>
  <c r="H65" i="23" s="1"/>
  <c r="L64" i="22"/>
  <c r="L64" i="23" s="1"/>
  <c r="K64" i="22"/>
  <c r="K64" i="23" s="1"/>
  <c r="J64" i="22"/>
  <c r="J64" i="23" s="1"/>
  <c r="I64" i="22"/>
  <c r="I64" i="23" s="1"/>
  <c r="H64" i="22"/>
  <c r="H64" i="23" s="1"/>
  <c r="L63" i="22"/>
  <c r="L63" i="23" s="1"/>
  <c r="K63" i="22"/>
  <c r="K63" i="23" s="1"/>
  <c r="J63" i="22"/>
  <c r="J63" i="23" s="1"/>
  <c r="I63" i="22"/>
  <c r="I63" i="23" s="1"/>
  <c r="H63" i="22"/>
  <c r="H63" i="23" s="1"/>
  <c r="L62" i="22"/>
  <c r="L62" i="23" s="1"/>
  <c r="K62" i="22"/>
  <c r="J62" i="22"/>
  <c r="I62" i="22"/>
  <c r="I62" i="23" s="1"/>
  <c r="H62" i="22"/>
  <c r="H62" i="23" s="1"/>
  <c r="L61" i="22"/>
  <c r="K61" i="22"/>
  <c r="K61" i="23" s="1"/>
  <c r="J61" i="22"/>
  <c r="J61" i="23" s="1"/>
  <c r="I61" i="22"/>
  <c r="I61" i="23" s="1"/>
  <c r="H61" i="22"/>
  <c r="H61" i="23" s="1"/>
  <c r="L59" i="22"/>
  <c r="L59" i="23" s="1"/>
  <c r="K59" i="22"/>
  <c r="K59" i="23" s="1"/>
  <c r="J59" i="22"/>
  <c r="J59" i="23" s="1"/>
  <c r="I59" i="22"/>
  <c r="H59" i="22"/>
  <c r="H59" i="23" s="1"/>
  <c r="L58" i="22"/>
  <c r="L58" i="23" s="1"/>
  <c r="K58" i="22"/>
  <c r="K58" i="23" s="1"/>
  <c r="J58" i="22"/>
  <c r="J58" i="23" s="1"/>
  <c r="I58" i="22"/>
  <c r="H58" i="22"/>
  <c r="H58" i="23" s="1"/>
  <c r="L57" i="22"/>
  <c r="L57" i="23" s="1"/>
  <c r="K57" i="22"/>
  <c r="K57" i="23" s="1"/>
  <c r="J57" i="22"/>
  <c r="J57" i="23" s="1"/>
  <c r="I57" i="22"/>
  <c r="I57" i="23" s="1"/>
  <c r="H57" i="22"/>
  <c r="H57" i="23" s="1"/>
  <c r="L56" i="22"/>
  <c r="L56" i="23" s="1"/>
  <c r="K56" i="22"/>
  <c r="K56" i="23" s="1"/>
  <c r="J56" i="22"/>
  <c r="J56" i="23" s="1"/>
  <c r="I56" i="22"/>
  <c r="I56" i="23" s="1"/>
  <c r="H56" i="22"/>
  <c r="H56" i="23" s="1"/>
  <c r="L55" i="22"/>
  <c r="K55" i="22"/>
  <c r="K55" i="23" s="1"/>
  <c r="J55" i="22"/>
  <c r="J55" i="23" s="1"/>
  <c r="I55" i="22"/>
  <c r="I55" i="23" s="1"/>
  <c r="H55" i="22"/>
  <c r="H55" i="23" s="1"/>
  <c r="L54" i="22"/>
  <c r="L54" i="23" s="1"/>
  <c r="K54" i="22"/>
  <c r="K54" i="23" s="1"/>
  <c r="J54" i="22"/>
  <c r="I54" i="22"/>
  <c r="I54" i="23" s="1"/>
  <c r="H54" i="22"/>
  <c r="H54" i="23" s="1"/>
  <c r="L53" i="22"/>
  <c r="K53" i="22"/>
  <c r="K53" i="23" s="1"/>
  <c r="J53" i="22"/>
  <c r="J53" i="23" s="1"/>
  <c r="I53" i="22"/>
  <c r="I53" i="23" s="1"/>
  <c r="H53" i="22"/>
  <c r="H53" i="23" s="1"/>
  <c r="L52" i="22"/>
  <c r="L52" i="23" s="1"/>
  <c r="K52" i="22"/>
  <c r="K52" i="23" s="1"/>
  <c r="J52" i="22"/>
  <c r="J52" i="23" s="1"/>
  <c r="I52" i="22"/>
  <c r="I52" i="23" s="1"/>
  <c r="H52" i="22"/>
  <c r="H52" i="23" s="1"/>
  <c r="L51" i="22"/>
  <c r="L51" i="23" s="1"/>
  <c r="K51" i="22"/>
  <c r="K51" i="23" s="1"/>
  <c r="J51" i="22"/>
  <c r="J51" i="23" s="1"/>
  <c r="I51" i="22"/>
  <c r="H51" i="22"/>
  <c r="H51" i="23" s="1"/>
  <c r="L50" i="22"/>
  <c r="L50" i="23" s="1"/>
  <c r="K50" i="22"/>
  <c r="K50" i="23" s="1"/>
  <c r="J50" i="22"/>
  <c r="J50" i="23" s="1"/>
  <c r="I50" i="22"/>
  <c r="H50" i="22"/>
  <c r="H50" i="23" s="1"/>
  <c r="L49" i="22"/>
  <c r="L49" i="23" s="1"/>
  <c r="K49" i="22"/>
  <c r="K49" i="23" s="1"/>
  <c r="J49" i="22"/>
  <c r="J49" i="23" s="1"/>
  <c r="I49" i="22"/>
  <c r="H49" i="22"/>
  <c r="H49" i="23" s="1"/>
  <c r="L48" i="22"/>
  <c r="L48" i="23" s="1"/>
  <c r="K48" i="22"/>
  <c r="K48" i="23" s="1"/>
  <c r="J48" i="22"/>
  <c r="J48" i="23" s="1"/>
  <c r="I48" i="22"/>
  <c r="I48" i="23" s="1"/>
  <c r="H48" i="22"/>
  <c r="H48" i="23" s="1"/>
  <c r="L47" i="22"/>
  <c r="L47" i="23" s="1"/>
  <c r="K47" i="22"/>
  <c r="K47" i="23" s="1"/>
  <c r="J47" i="22"/>
  <c r="J47" i="23" s="1"/>
  <c r="H47" i="22"/>
  <c r="H47" i="23" s="1"/>
  <c r="L46" i="22"/>
  <c r="L46" i="23" s="1"/>
  <c r="K46" i="22"/>
  <c r="K46" i="23" s="1"/>
  <c r="J46" i="22"/>
  <c r="J46" i="23" s="1"/>
  <c r="I46" i="22"/>
  <c r="I46" i="23" s="1"/>
  <c r="H46" i="22"/>
  <c r="H46" i="23" s="1"/>
  <c r="L45" i="22"/>
  <c r="K45" i="22"/>
  <c r="K45" i="23" s="1"/>
  <c r="J45" i="22"/>
  <c r="J45" i="23" s="1"/>
  <c r="I45" i="22"/>
  <c r="I45" i="23" s="1"/>
  <c r="H45" i="22"/>
  <c r="H45" i="23" s="1"/>
  <c r="L44" i="22"/>
  <c r="L44" i="23" s="1"/>
  <c r="K44" i="22"/>
  <c r="K44" i="23" s="1"/>
  <c r="J44" i="22"/>
  <c r="J44" i="23" s="1"/>
  <c r="I44" i="22"/>
  <c r="I44" i="23" s="1"/>
  <c r="H44" i="22"/>
  <c r="H44" i="23" s="1"/>
  <c r="L43" i="22"/>
  <c r="L43" i="23" s="1"/>
  <c r="K43" i="22"/>
  <c r="K43" i="23" s="1"/>
  <c r="J43" i="22"/>
  <c r="I43" i="22"/>
  <c r="H43" i="22"/>
  <c r="H43" i="23" s="1"/>
  <c r="L41" i="22"/>
  <c r="L41" i="23" s="1"/>
  <c r="K41" i="22"/>
  <c r="K41" i="23" s="1"/>
  <c r="J41" i="22"/>
  <c r="J41" i="23" s="1"/>
  <c r="I41" i="22"/>
  <c r="I41" i="23" s="1"/>
  <c r="H41" i="22"/>
  <c r="H41" i="23" s="1"/>
  <c r="L40" i="22"/>
  <c r="L40" i="23" s="1"/>
  <c r="K40" i="22"/>
  <c r="J40" i="22"/>
  <c r="I40" i="22"/>
  <c r="I40" i="23" s="1"/>
  <c r="H40" i="22"/>
  <c r="H40" i="23" s="1"/>
  <c r="L35" i="22"/>
  <c r="K35" i="22"/>
  <c r="K35" i="23" s="1"/>
  <c r="J35" i="22"/>
  <c r="J35" i="23" s="1"/>
  <c r="I35" i="22"/>
  <c r="I35" i="23" s="1"/>
  <c r="H35" i="22"/>
  <c r="H35" i="23" s="1"/>
  <c r="L34" i="22"/>
  <c r="L34" i="23" s="1"/>
  <c r="K34" i="22"/>
  <c r="K34" i="23" s="1"/>
  <c r="J34" i="22"/>
  <c r="J34" i="23" s="1"/>
  <c r="I34" i="22"/>
  <c r="H34" i="22"/>
  <c r="H34" i="23" s="1"/>
  <c r="L33" i="22"/>
  <c r="L33" i="23" s="1"/>
  <c r="K33" i="22"/>
  <c r="E14" i="24" s="1"/>
  <c r="E42" i="24" s="1"/>
  <c r="J33" i="22"/>
  <c r="D14" i="24" s="1"/>
  <c r="D42" i="24" s="1"/>
  <c r="I33" i="22"/>
  <c r="C14" i="24" s="1"/>
  <c r="C42" i="24" s="1"/>
  <c r="H33" i="22"/>
  <c r="H33" i="23" s="1"/>
  <c r="L32" i="22"/>
  <c r="L32" i="23" s="1"/>
  <c r="K32" i="22"/>
  <c r="K32" i="23" s="1"/>
  <c r="J32" i="22"/>
  <c r="J32" i="23" s="1"/>
  <c r="I32" i="22"/>
  <c r="H32" i="22"/>
  <c r="H32" i="23" s="1"/>
  <c r="L31" i="22"/>
  <c r="L31" i="23" s="1"/>
  <c r="K31" i="22"/>
  <c r="K31" i="23" s="1"/>
  <c r="J31" i="22"/>
  <c r="J31" i="23" s="1"/>
  <c r="I31" i="22"/>
  <c r="H31" i="22"/>
  <c r="H31" i="23" s="1"/>
  <c r="L30" i="22"/>
  <c r="L30" i="23" s="1"/>
  <c r="K30" i="22"/>
  <c r="K30" i="23" s="1"/>
  <c r="J30" i="22"/>
  <c r="J30" i="23" s="1"/>
  <c r="I30" i="22"/>
  <c r="I30" i="23" s="1"/>
  <c r="H30" i="22"/>
  <c r="H30" i="23" s="1"/>
  <c r="L29" i="22"/>
  <c r="L29" i="23" s="1"/>
  <c r="K29" i="22"/>
  <c r="J29" i="22"/>
  <c r="J29" i="23" s="1"/>
  <c r="I29" i="22"/>
  <c r="I29" i="23" s="1"/>
  <c r="H29" i="22"/>
  <c r="H29" i="23" s="1"/>
  <c r="L28" i="22"/>
  <c r="L28" i="23" s="1"/>
  <c r="K28" i="22"/>
  <c r="K28" i="23" s="1"/>
  <c r="J28" i="22"/>
  <c r="I28" i="22"/>
  <c r="I28" i="23" s="1"/>
  <c r="H28" i="22"/>
  <c r="H28" i="23" s="1"/>
  <c r="L26" i="22"/>
  <c r="L26" i="23" s="1"/>
  <c r="K26" i="22"/>
  <c r="K26" i="23" s="1"/>
  <c r="J26" i="22"/>
  <c r="J26" i="23" s="1"/>
  <c r="I26" i="22"/>
  <c r="I26" i="23" s="1"/>
  <c r="H26" i="22"/>
  <c r="H26" i="23" s="1"/>
  <c r="L25" i="22"/>
  <c r="L25" i="23" s="1"/>
  <c r="K25" i="22"/>
  <c r="K25" i="23" s="1"/>
  <c r="J25" i="22"/>
  <c r="J25" i="23" s="1"/>
  <c r="I25" i="22"/>
  <c r="H25" i="22"/>
  <c r="H25" i="23" s="1"/>
  <c r="L24" i="22"/>
  <c r="L24" i="23" s="1"/>
  <c r="K24" i="22"/>
  <c r="K24" i="23" s="1"/>
  <c r="J24" i="22"/>
  <c r="J24" i="23" s="1"/>
  <c r="I24" i="22"/>
  <c r="I24" i="23" s="1"/>
  <c r="H24" i="22"/>
  <c r="H24" i="23" s="1"/>
  <c r="L23" i="22"/>
  <c r="L23" i="23" s="1"/>
  <c r="K23" i="22"/>
  <c r="K23" i="23" s="1"/>
  <c r="J23" i="22"/>
  <c r="J23" i="23" s="1"/>
  <c r="I23" i="22"/>
  <c r="I23" i="23" s="1"/>
  <c r="H23" i="22"/>
  <c r="H23" i="23" s="1"/>
  <c r="L22" i="22"/>
  <c r="L22" i="23" s="1"/>
  <c r="K22" i="22"/>
  <c r="K22" i="23" s="1"/>
  <c r="J22" i="22"/>
  <c r="J22" i="23" s="1"/>
  <c r="I22" i="22"/>
  <c r="I22" i="23" s="1"/>
  <c r="H22" i="22"/>
  <c r="H22" i="23" s="1"/>
  <c r="L21" i="22"/>
  <c r="K21" i="22"/>
  <c r="K21" i="23" s="1"/>
  <c r="J21" i="22"/>
  <c r="J21" i="23" s="1"/>
  <c r="I21" i="22"/>
  <c r="I21" i="23" s="1"/>
  <c r="H21" i="22"/>
  <c r="H21" i="23" s="1"/>
  <c r="L20" i="22"/>
  <c r="L20" i="23" s="1"/>
  <c r="K20" i="22"/>
  <c r="K20" i="23" s="1"/>
  <c r="J20" i="22"/>
  <c r="J20" i="23" s="1"/>
  <c r="I20" i="22"/>
  <c r="N20" i="22" s="1"/>
  <c r="N20" i="23" s="1"/>
  <c r="H20" i="22"/>
  <c r="H20" i="23" s="1"/>
  <c r="L18" i="22"/>
  <c r="K18" i="22"/>
  <c r="K18" i="23" s="1"/>
  <c r="J18" i="22"/>
  <c r="J18" i="23" s="1"/>
  <c r="I18" i="22"/>
  <c r="H18" i="22"/>
  <c r="H18" i="23" s="1"/>
  <c r="L17" i="22"/>
  <c r="L17" i="23" s="1"/>
  <c r="K17" i="22"/>
  <c r="K17" i="23" s="1"/>
  <c r="J17" i="22"/>
  <c r="J17" i="23" s="1"/>
  <c r="I17" i="22"/>
  <c r="H17" i="22"/>
  <c r="H17" i="23" s="1"/>
  <c r="L16" i="22"/>
  <c r="L16" i="23" s="1"/>
  <c r="K16" i="22"/>
  <c r="K16" i="23" s="1"/>
  <c r="J16" i="22"/>
  <c r="J16" i="23" s="1"/>
  <c r="I16" i="22"/>
  <c r="I16" i="23" s="1"/>
  <c r="H16" i="22"/>
  <c r="H16" i="23" s="1"/>
  <c r="L15" i="22"/>
  <c r="L15" i="23" s="1"/>
  <c r="K15" i="22"/>
  <c r="K15" i="23" s="1"/>
  <c r="J15" i="22"/>
  <c r="J15" i="23" s="1"/>
  <c r="I15" i="22"/>
  <c r="H15" i="22"/>
  <c r="H15" i="23" s="1"/>
  <c r="L14" i="22"/>
  <c r="L14" i="23" s="1"/>
  <c r="K14" i="22"/>
  <c r="K14" i="23" s="1"/>
  <c r="J14" i="22"/>
  <c r="J14" i="23" s="1"/>
  <c r="I14" i="22"/>
  <c r="N14" i="22" s="1"/>
  <c r="N14" i="23" s="1"/>
  <c r="H14" i="22"/>
  <c r="H14" i="23" s="1"/>
  <c r="L13" i="22"/>
  <c r="L13" i="23" s="1"/>
  <c r="K13" i="22"/>
  <c r="J13" i="22"/>
  <c r="J13" i="23" s="1"/>
  <c r="I13" i="22"/>
  <c r="I13" i="23" s="1"/>
  <c r="H13" i="22"/>
  <c r="H13" i="23" s="1"/>
  <c r="L11" i="22"/>
  <c r="L11" i="23" s="1"/>
  <c r="K11" i="22"/>
  <c r="K11" i="23" s="1"/>
  <c r="J11" i="22"/>
  <c r="J11" i="23" s="1"/>
  <c r="I11" i="22"/>
  <c r="H11" i="22"/>
  <c r="H11" i="23" s="1"/>
  <c r="L8" i="22"/>
  <c r="L8" i="23" s="1"/>
  <c r="K8" i="22"/>
  <c r="K8" i="23" s="1"/>
  <c r="J8" i="22"/>
  <c r="J8" i="23" s="1"/>
  <c r="I8" i="22"/>
  <c r="I8" i="23" s="1"/>
  <c r="H8" i="22"/>
  <c r="B6" i="24" s="1"/>
  <c r="B34" i="24" s="1"/>
  <c r="N120" i="23"/>
  <c r="M120" i="23"/>
  <c r="L120" i="23"/>
  <c r="K120" i="23"/>
  <c r="J120" i="23"/>
  <c r="I120" i="23"/>
  <c r="H120" i="23"/>
  <c r="N111" i="23"/>
  <c r="M111" i="23"/>
  <c r="L111" i="23"/>
  <c r="K111" i="23"/>
  <c r="J111" i="23"/>
  <c r="I111" i="23"/>
  <c r="H111" i="23"/>
  <c r="N110" i="23"/>
  <c r="M110" i="23"/>
  <c r="L110" i="23"/>
  <c r="K110" i="23"/>
  <c r="J110" i="23"/>
  <c r="I110" i="23"/>
  <c r="H110" i="23"/>
  <c r="N108" i="23"/>
  <c r="M108" i="23"/>
  <c r="L108" i="23"/>
  <c r="K108" i="23"/>
  <c r="J108" i="23"/>
  <c r="I108" i="23"/>
  <c r="H108" i="23"/>
  <c r="N100" i="23"/>
  <c r="M100" i="23"/>
  <c r="L100" i="23"/>
  <c r="K100" i="23"/>
  <c r="J100" i="23"/>
  <c r="I100" i="23"/>
  <c r="H100" i="23"/>
  <c r="N99" i="23"/>
  <c r="M99" i="23"/>
  <c r="L99" i="23"/>
  <c r="K99" i="23"/>
  <c r="J99" i="23"/>
  <c r="I99" i="23"/>
  <c r="H99" i="23"/>
  <c r="N95" i="23"/>
  <c r="M95" i="23"/>
  <c r="L95" i="23"/>
  <c r="K95" i="23"/>
  <c r="J95" i="23"/>
  <c r="I95" i="23"/>
  <c r="H95" i="23"/>
  <c r="N94" i="23"/>
  <c r="M94" i="23"/>
  <c r="L94" i="23"/>
  <c r="K94" i="23"/>
  <c r="J94" i="23"/>
  <c r="I94" i="23"/>
  <c r="H94" i="23"/>
  <c r="N90" i="23"/>
  <c r="M90" i="23"/>
  <c r="L90" i="23"/>
  <c r="K90" i="23"/>
  <c r="J90" i="23"/>
  <c r="I90" i="23"/>
  <c r="H90" i="23"/>
  <c r="N89" i="23"/>
  <c r="M89" i="23"/>
  <c r="L89" i="23"/>
  <c r="K89" i="23"/>
  <c r="J89" i="23"/>
  <c r="I89" i="23"/>
  <c r="H89" i="23"/>
  <c r="L87" i="23"/>
  <c r="K87" i="23"/>
  <c r="J87" i="23"/>
  <c r="I87" i="23"/>
  <c r="H87" i="23"/>
  <c r="N38" i="23"/>
  <c r="M38" i="23"/>
  <c r="L38" i="23"/>
  <c r="K38" i="23"/>
  <c r="J38" i="23"/>
  <c r="I38" i="23"/>
  <c r="H38" i="23"/>
  <c r="N37" i="23"/>
  <c r="M37" i="23"/>
  <c r="L37" i="23"/>
  <c r="K37" i="23"/>
  <c r="J37" i="23"/>
  <c r="I37" i="23"/>
  <c r="H37" i="23"/>
  <c r="N9" i="23"/>
  <c r="M9" i="23"/>
  <c r="L9" i="23"/>
  <c r="K9" i="23"/>
  <c r="J9" i="23"/>
  <c r="I9" i="23"/>
  <c r="H9" i="23"/>
  <c r="N87" i="22"/>
  <c r="N87" i="23" s="1"/>
  <c r="M87" i="22"/>
  <c r="M87" i="23" s="1"/>
  <c r="J54" i="23"/>
  <c r="K25" i="25" l="1"/>
  <c r="J6" i="25"/>
  <c r="K6" i="25"/>
  <c r="J30" i="25"/>
  <c r="J42" i="25"/>
  <c r="K7" i="25"/>
  <c r="J12" i="25"/>
  <c r="K16" i="25"/>
  <c r="J21" i="25"/>
  <c r="K30" i="25"/>
  <c r="K42" i="25"/>
  <c r="T1094" i="21"/>
  <c r="J14" i="25"/>
  <c r="K11" i="25"/>
  <c r="J17" i="25"/>
  <c r="I102" i="23"/>
  <c r="M65" i="22"/>
  <c r="M65" i="23" s="1"/>
  <c r="K12" i="25"/>
  <c r="J28" i="25"/>
  <c r="K13" i="25"/>
  <c r="J23" i="25"/>
  <c r="L101" i="22"/>
  <c r="F16" i="24" s="1"/>
  <c r="F44" i="24" s="1"/>
  <c r="D6" i="24"/>
  <c r="D34" i="24" s="1"/>
  <c r="J98" i="22"/>
  <c r="J98" i="23" s="1"/>
  <c r="H8" i="23"/>
  <c r="N84" i="22"/>
  <c r="N84" i="23" s="1"/>
  <c r="J27" i="22"/>
  <c r="J27" i="23" s="1"/>
  <c r="J39" i="22"/>
  <c r="J39" i="23" s="1"/>
  <c r="K98" i="22"/>
  <c r="K98" i="23" s="1"/>
  <c r="M105" i="22"/>
  <c r="M105" i="23" s="1"/>
  <c r="J9" i="25"/>
  <c r="J18" i="25"/>
  <c r="K23" i="25"/>
  <c r="G32" i="25"/>
  <c r="K34" i="25"/>
  <c r="K39" i="22"/>
  <c r="K39" i="23" s="1"/>
  <c r="F12" i="24"/>
  <c r="F40" i="24" s="1"/>
  <c r="G36" i="25"/>
  <c r="J13" i="25"/>
  <c r="J22" i="25"/>
  <c r="K26" i="25"/>
  <c r="J31" i="25"/>
  <c r="J7" i="25"/>
  <c r="J112" i="22"/>
  <c r="J119" i="22" s="1"/>
  <c r="J119" i="23" s="1"/>
  <c r="F6" i="24"/>
  <c r="F34" i="24" s="1"/>
  <c r="J33" i="23"/>
  <c r="K33" i="23"/>
  <c r="J97" i="23"/>
  <c r="M85" i="22"/>
  <c r="M85" i="23" s="1"/>
  <c r="M7" i="22"/>
  <c r="M92" i="22"/>
  <c r="M92" i="23" s="1"/>
  <c r="H42" i="22"/>
  <c r="H42" i="23" s="1"/>
  <c r="J60" i="22"/>
  <c r="J60" i="23" s="1"/>
  <c r="L78" i="22"/>
  <c r="L78" i="23" s="1"/>
  <c r="H104" i="22"/>
  <c r="J91" i="23"/>
  <c r="D12" i="24"/>
  <c r="D40" i="24" s="1"/>
  <c r="H27" i="22"/>
  <c r="J113" i="23"/>
  <c r="B14" i="24"/>
  <c r="B42" i="24" s="1"/>
  <c r="J40" i="23"/>
  <c r="H93" i="22"/>
  <c r="H93" i="23" s="1"/>
  <c r="B12" i="24"/>
  <c r="B40" i="24" s="1"/>
  <c r="K93" i="22"/>
  <c r="K93" i="23" s="1"/>
  <c r="M7" i="23"/>
  <c r="J96" i="23"/>
  <c r="M18" i="22"/>
  <c r="M18" i="23" s="1"/>
  <c r="C6" i="24"/>
  <c r="C34" i="24" s="1"/>
  <c r="E6" i="24"/>
  <c r="E34" i="24" s="1"/>
  <c r="L97" i="23"/>
  <c r="I96" i="23"/>
  <c r="C17" i="24"/>
  <c r="C45" i="24" s="1"/>
  <c r="L98" i="22"/>
  <c r="L98" i="23" s="1"/>
  <c r="M63" i="22"/>
  <c r="M63" i="23" s="1"/>
  <c r="M71" i="22"/>
  <c r="M71" i="23" s="1"/>
  <c r="K27" i="22"/>
  <c r="K27" i="23" s="1"/>
  <c r="I32" i="25"/>
  <c r="M91" i="22"/>
  <c r="N91" i="22" s="1"/>
  <c r="N91" i="23" s="1"/>
  <c r="E12" i="24"/>
  <c r="E40" i="24" s="1"/>
  <c r="F14" i="24"/>
  <c r="F42" i="24" s="1"/>
  <c r="H36" i="25"/>
  <c r="K97" i="23"/>
  <c r="L112" i="22"/>
  <c r="L119" i="22" s="1"/>
  <c r="L119" i="23" s="1"/>
  <c r="M34" i="22"/>
  <c r="M34" i="23" s="1"/>
  <c r="K60" i="22"/>
  <c r="K60" i="23" s="1"/>
  <c r="I71" i="23"/>
  <c r="I14" i="23"/>
  <c r="I91" i="23"/>
  <c r="I34" i="23"/>
  <c r="M22" i="22"/>
  <c r="M22" i="23" s="1"/>
  <c r="M29" i="22"/>
  <c r="M29" i="23" s="1"/>
  <c r="M21" i="22"/>
  <c r="M21" i="23" s="1"/>
  <c r="M55" i="22"/>
  <c r="M55" i="23" s="1"/>
  <c r="I78" i="22"/>
  <c r="I78" i="23" s="1"/>
  <c r="M102" i="22"/>
  <c r="M102" i="23" s="1"/>
  <c r="J25" i="25"/>
  <c r="K40" i="25"/>
  <c r="K22" i="25"/>
  <c r="K31" i="25"/>
  <c r="H15" i="25"/>
  <c r="H32" i="25"/>
  <c r="E36" i="25"/>
  <c r="J34" i="25"/>
  <c r="I15" i="25"/>
  <c r="J11" i="25"/>
  <c r="K20" i="25"/>
  <c r="K29" i="25"/>
  <c r="K41" i="25"/>
  <c r="G15" i="25"/>
  <c r="J10" i="25"/>
  <c r="G24" i="25"/>
  <c r="J19" i="25"/>
  <c r="J26" i="25"/>
  <c r="I36" i="25"/>
  <c r="J40" i="25"/>
  <c r="E15" i="25"/>
  <c r="F15" i="25"/>
  <c r="K10" i="25"/>
  <c r="J16" i="25"/>
  <c r="H24" i="25"/>
  <c r="K19" i="25"/>
  <c r="E32" i="25"/>
  <c r="J35" i="25"/>
  <c r="K9" i="25"/>
  <c r="K18" i="25"/>
  <c r="J27" i="25"/>
  <c r="J39" i="25"/>
  <c r="K14" i="25"/>
  <c r="I24" i="25"/>
  <c r="F32" i="25"/>
  <c r="F36" i="25"/>
  <c r="K27" i="25"/>
  <c r="K39" i="25"/>
  <c r="J8" i="25"/>
  <c r="E24" i="25"/>
  <c r="K17" i="25"/>
  <c r="J41" i="25"/>
  <c r="K8" i="25"/>
  <c r="J29" i="25"/>
  <c r="K35" i="25"/>
  <c r="J20" i="25"/>
  <c r="C2" i="25"/>
  <c r="E48" i="24"/>
  <c r="E15" i="24"/>
  <c r="E43" i="24" s="1"/>
  <c r="M13" i="22"/>
  <c r="M13" i="23" s="1"/>
  <c r="K19" i="22"/>
  <c r="K19" i="23" s="1"/>
  <c r="J62" i="23"/>
  <c r="H66" i="22"/>
  <c r="H66" i="23" s="1"/>
  <c r="N13" i="22"/>
  <c r="N13" i="23" s="1"/>
  <c r="L21" i="23"/>
  <c r="M26" i="22"/>
  <c r="M26" i="23" s="1"/>
  <c r="M30" i="22"/>
  <c r="K62" i="23"/>
  <c r="I66" i="22"/>
  <c r="I66" i="23" s="1"/>
  <c r="M70" i="22"/>
  <c r="N70" i="22" s="1"/>
  <c r="N70" i="23" s="1"/>
  <c r="K92" i="23"/>
  <c r="I116" i="23"/>
  <c r="H105" i="23"/>
  <c r="L27" i="22"/>
  <c r="F11" i="24" s="1"/>
  <c r="M79" i="22"/>
  <c r="J101" i="22"/>
  <c r="M115" i="22"/>
  <c r="M115" i="23" s="1"/>
  <c r="L12" i="22"/>
  <c r="L12" i="23" s="1"/>
  <c r="J19" i="22"/>
  <c r="J19" i="23" s="1"/>
  <c r="K29" i="23"/>
  <c r="L55" i="23"/>
  <c r="H91" i="23"/>
  <c r="I20" i="23"/>
  <c r="J28" i="23"/>
  <c r="I19" i="22"/>
  <c r="I19" i="23" s="1"/>
  <c r="I18" i="23"/>
  <c r="H73" i="22"/>
  <c r="H73" i="23" s="1"/>
  <c r="L102" i="23"/>
  <c r="I104" i="22"/>
  <c r="M116" i="22"/>
  <c r="M116" i="23" s="1"/>
  <c r="I17" i="23"/>
  <c r="N17" i="22"/>
  <c r="N17" i="23" s="1"/>
  <c r="M20" i="22"/>
  <c r="M20" i="23" s="1"/>
  <c r="M35" i="22"/>
  <c r="L35" i="23"/>
  <c r="I82" i="23"/>
  <c r="I81" i="22"/>
  <c r="M82" i="22"/>
  <c r="M82" i="23" s="1"/>
  <c r="J67" i="23"/>
  <c r="J66" i="22"/>
  <c r="J66" i="23" s="1"/>
  <c r="H98" i="22"/>
  <c r="H98" i="23" s="1"/>
  <c r="H96" i="23"/>
  <c r="K12" i="22"/>
  <c r="M16" i="22"/>
  <c r="M16" i="23" s="1"/>
  <c r="I33" i="23"/>
  <c r="I43" i="23"/>
  <c r="N59" i="22"/>
  <c r="N59" i="23" s="1"/>
  <c r="I59" i="23"/>
  <c r="M62" i="22"/>
  <c r="J105" i="23"/>
  <c r="J104" i="22"/>
  <c r="D8" i="24" s="1"/>
  <c r="D36" i="24" s="1"/>
  <c r="M106" i="22"/>
  <c r="M106" i="23" s="1"/>
  <c r="L106" i="23"/>
  <c r="I12" i="22"/>
  <c r="I75" i="23"/>
  <c r="N75" i="22"/>
  <c r="N75" i="23" s="1"/>
  <c r="L19" i="22"/>
  <c r="K104" i="22"/>
  <c r="K105" i="23"/>
  <c r="M11" i="22"/>
  <c r="K42" i="22"/>
  <c r="K42" i="23" s="1"/>
  <c r="L61" i="23"/>
  <c r="M61" i="22"/>
  <c r="L60" i="22"/>
  <c r="I83" i="23"/>
  <c r="I51" i="23"/>
  <c r="L45" i="23"/>
  <c r="M45" i="22"/>
  <c r="N97" i="22"/>
  <c r="N97" i="23" s="1"/>
  <c r="M97" i="22"/>
  <c r="M97" i="23" s="1"/>
  <c r="I67" i="23"/>
  <c r="N25" i="22"/>
  <c r="N25" i="23" s="1"/>
  <c r="I25" i="23"/>
  <c r="M28" i="22"/>
  <c r="I50" i="23"/>
  <c r="M50" i="22"/>
  <c r="M50" i="23" s="1"/>
  <c r="M54" i="22"/>
  <c r="J43" i="23"/>
  <c r="J42" i="22"/>
  <c r="J42" i="23" s="1"/>
  <c r="L53" i="23"/>
  <c r="M53" i="22"/>
  <c r="I74" i="23"/>
  <c r="M74" i="22"/>
  <c r="M74" i="23" s="1"/>
  <c r="I73" i="22"/>
  <c r="N118" i="22"/>
  <c r="N118" i="23" s="1"/>
  <c r="M118" i="22"/>
  <c r="M118" i="23" s="1"/>
  <c r="I118" i="23"/>
  <c r="M24" i="22"/>
  <c r="M24" i="23" s="1"/>
  <c r="N24" i="22"/>
  <c r="N24" i="23" s="1"/>
  <c r="I32" i="23"/>
  <c r="M32" i="22"/>
  <c r="M32" i="23" s="1"/>
  <c r="M43" i="22"/>
  <c r="M43" i="23" s="1"/>
  <c r="M46" i="22"/>
  <c r="I58" i="23"/>
  <c r="M58" i="22"/>
  <c r="M58" i="23" s="1"/>
  <c r="L69" i="23"/>
  <c r="M69" i="22"/>
  <c r="M77" i="22"/>
  <c r="L77" i="23"/>
  <c r="H81" i="22"/>
  <c r="H81" i="23" s="1"/>
  <c r="L91" i="23"/>
  <c r="L93" i="22"/>
  <c r="H39" i="22"/>
  <c r="M44" i="22"/>
  <c r="M44" i="23" s="1"/>
  <c r="M52" i="22"/>
  <c r="M52" i="23" s="1"/>
  <c r="K66" i="22"/>
  <c r="K66" i="23" s="1"/>
  <c r="M68" i="22"/>
  <c r="M68" i="23" s="1"/>
  <c r="J73" i="22"/>
  <c r="J73" i="23" s="1"/>
  <c r="M76" i="22"/>
  <c r="M76" i="23" s="1"/>
  <c r="J81" i="22"/>
  <c r="J81" i="23" s="1"/>
  <c r="M84" i="22"/>
  <c r="M84" i="23" s="1"/>
  <c r="I93" i="22"/>
  <c r="M114" i="22"/>
  <c r="M114" i="23" s="1"/>
  <c r="I117" i="23"/>
  <c r="N117" i="22"/>
  <c r="N117" i="23" s="1"/>
  <c r="I31" i="23"/>
  <c r="H12" i="22"/>
  <c r="H12" i="23" s="1"/>
  <c r="M17" i="22"/>
  <c r="M17" i="23" s="1"/>
  <c r="M25" i="22"/>
  <c r="M25" i="23" s="1"/>
  <c r="N26" i="22"/>
  <c r="N26" i="23" s="1"/>
  <c r="M33" i="22"/>
  <c r="M33" i="23" s="1"/>
  <c r="N34" i="22"/>
  <c r="N34" i="23" s="1"/>
  <c r="I39" i="22"/>
  <c r="L42" i="22"/>
  <c r="M51" i="22"/>
  <c r="M51" i="23" s="1"/>
  <c r="M59" i="22"/>
  <c r="M59" i="23" s="1"/>
  <c r="L66" i="22"/>
  <c r="M67" i="22"/>
  <c r="M67" i="23" s="1"/>
  <c r="K73" i="22"/>
  <c r="K73" i="23" s="1"/>
  <c r="M75" i="22"/>
  <c r="M75" i="23" s="1"/>
  <c r="H78" i="22"/>
  <c r="H78" i="23" s="1"/>
  <c r="K81" i="22"/>
  <c r="K81" i="23" s="1"/>
  <c r="M83" i="22"/>
  <c r="M83" i="23" s="1"/>
  <c r="J93" i="22"/>
  <c r="J93" i="23" s="1"/>
  <c r="I101" i="22"/>
  <c r="K112" i="22"/>
  <c r="M113" i="22"/>
  <c r="K40" i="23"/>
  <c r="L18" i="23"/>
  <c r="L81" i="22"/>
  <c r="H101" i="22"/>
  <c r="B16" i="24" s="1"/>
  <c r="B44" i="24" s="1"/>
  <c r="L65" i="23"/>
  <c r="I80" i="23"/>
  <c r="M15" i="22"/>
  <c r="M15" i="23" s="1"/>
  <c r="M23" i="22"/>
  <c r="M23" i="23" s="1"/>
  <c r="I27" i="22"/>
  <c r="C11" i="24" s="1"/>
  <c r="M31" i="22"/>
  <c r="M31" i="23" s="1"/>
  <c r="M41" i="22"/>
  <c r="M41" i="23" s="1"/>
  <c r="M49" i="22"/>
  <c r="M49" i="23" s="1"/>
  <c r="M57" i="22"/>
  <c r="M57" i="23" s="1"/>
  <c r="H60" i="22"/>
  <c r="H60" i="23" s="1"/>
  <c r="J78" i="22"/>
  <c r="J78" i="23" s="1"/>
  <c r="M96" i="22"/>
  <c r="M117" i="22"/>
  <c r="M117" i="23" s="1"/>
  <c r="I11" i="23"/>
  <c r="K13" i="23"/>
  <c r="I15" i="23"/>
  <c r="I49" i="23"/>
  <c r="H19" i="22"/>
  <c r="H19" i="23" s="1"/>
  <c r="L73" i="22"/>
  <c r="J12" i="22"/>
  <c r="M14" i="22"/>
  <c r="M14" i="23" s="1"/>
  <c r="N23" i="22"/>
  <c r="N23" i="23" s="1"/>
  <c r="L39" i="22"/>
  <c r="M40" i="22"/>
  <c r="M48" i="22"/>
  <c r="M56" i="22"/>
  <c r="I60" i="22"/>
  <c r="M64" i="22"/>
  <c r="M72" i="22"/>
  <c r="K78" i="22"/>
  <c r="K78" i="23" s="1"/>
  <c r="M80" i="22"/>
  <c r="N96" i="22"/>
  <c r="N96" i="23" s="1"/>
  <c r="I98" i="22"/>
  <c r="K101" i="22"/>
  <c r="E16" i="24" s="1"/>
  <c r="E44" i="24" s="1"/>
  <c r="M103" i="22"/>
  <c r="H113" i="23"/>
  <c r="H112" i="22"/>
  <c r="L105" i="23"/>
  <c r="L116" i="23"/>
  <c r="L104" i="22"/>
  <c r="F8" i="24" s="1"/>
  <c r="F36" i="24" s="1"/>
  <c r="I112" i="22"/>
  <c r="N16" i="22" l="1"/>
  <c r="N16" i="23" s="1"/>
  <c r="J36" i="25"/>
  <c r="J112" i="23"/>
  <c r="N65" i="22"/>
  <c r="N65" i="23" s="1"/>
  <c r="N18" i="22"/>
  <c r="N18" i="23" s="1"/>
  <c r="J24" i="25"/>
  <c r="N71" i="22"/>
  <c r="N71" i="23" s="1"/>
  <c r="K36" i="25"/>
  <c r="L101" i="23"/>
  <c r="N105" i="22"/>
  <c r="N105" i="23" s="1"/>
  <c r="C39" i="24"/>
  <c r="N92" i="22"/>
  <c r="N92" i="23" s="1"/>
  <c r="D11" i="24"/>
  <c r="L27" i="23"/>
  <c r="J32" i="25"/>
  <c r="N63" i="22"/>
  <c r="N63" i="23" s="1"/>
  <c r="N85" i="22"/>
  <c r="N85" i="23" s="1"/>
  <c r="J101" i="23"/>
  <c r="D16" i="24"/>
  <c r="D44" i="24" s="1"/>
  <c r="L112" i="23"/>
  <c r="H27" i="23"/>
  <c r="B11" i="24"/>
  <c r="L107" i="22"/>
  <c r="L107" i="23" s="1"/>
  <c r="E11" i="24"/>
  <c r="E39" i="24" s="1"/>
  <c r="H104" i="23"/>
  <c r="B8" i="24"/>
  <c r="B36" i="24" s="1"/>
  <c r="M96" i="23"/>
  <c r="F39" i="24"/>
  <c r="K104" i="23"/>
  <c r="E8" i="24"/>
  <c r="E36" i="24" s="1"/>
  <c r="M91" i="23"/>
  <c r="N44" i="22"/>
  <c r="N44" i="23" s="1"/>
  <c r="N29" i="22"/>
  <c r="N29" i="23" s="1"/>
  <c r="N22" i="22"/>
  <c r="N22" i="23" s="1"/>
  <c r="M78" i="22"/>
  <c r="M78" i="23" s="1"/>
  <c r="N21" i="22"/>
  <c r="N21" i="23" s="1"/>
  <c r="N52" i="22"/>
  <c r="N52" i="23" s="1"/>
  <c r="N114" i="22"/>
  <c r="N114" i="23" s="1"/>
  <c r="N15" i="22"/>
  <c r="N15" i="23" s="1"/>
  <c r="I10" i="22"/>
  <c r="C13" i="24" s="1"/>
  <c r="C41" i="24" s="1"/>
  <c r="M70" i="23"/>
  <c r="M101" i="22"/>
  <c r="M101" i="23" s="1"/>
  <c r="C16" i="24"/>
  <c r="C44" i="24" s="1"/>
  <c r="N51" i="22"/>
  <c r="N51" i="23" s="1"/>
  <c r="N55" i="22"/>
  <c r="N55" i="23" s="1"/>
  <c r="N43" i="22"/>
  <c r="N43" i="23" s="1"/>
  <c r="I104" i="23"/>
  <c r="C8" i="24"/>
  <c r="C36" i="24" s="1"/>
  <c r="I38" i="25"/>
  <c r="I43" i="25" s="1"/>
  <c r="E33" i="25"/>
  <c r="H33" i="25"/>
  <c r="G38" i="25"/>
  <c r="G43" i="25" s="1"/>
  <c r="G33" i="25"/>
  <c r="I33" i="25"/>
  <c r="E38" i="25"/>
  <c r="E43" i="25" s="1"/>
  <c r="K32" i="25"/>
  <c r="H38" i="25"/>
  <c r="H43" i="25" s="1"/>
  <c r="K15" i="25"/>
  <c r="J15" i="25"/>
  <c r="L10" i="22"/>
  <c r="F13" i="24" s="1"/>
  <c r="F41" i="24" s="1"/>
  <c r="N30" i="22"/>
  <c r="N30" i="23" s="1"/>
  <c r="M30" i="23"/>
  <c r="M79" i="23"/>
  <c r="N79" i="22"/>
  <c r="N79" i="23" s="1"/>
  <c r="N115" i="22"/>
  <c r="N115" i="23" s="1"/>
  <c r="N74" i="22"/>
  <c r="N74" i="23" s="1"/>
  <c r="I73" i="23"/>
  <c r="N33" i="22"/>
  <c r="N33" i="23" s="1"/>
  <c r="N50" i="22"/>
  <c r="N50" i="23" s="1"/>
  <c r="I112" i="23"/>
  <c r="I119" i="22"/>
  <c r="I98" i="23"/>
  <c r="N98" i="22"/>
  <c r="N98" i="23" s="1"/>
  <c r="N57" i="22"/>
  <c r="N57" i="23" s="1"/>
  <c r="J12" i="23"/>
  <c r="J10" i="22"/>
  <c r="D13" i="24" s="1"/>
  <c r="D41" i="24" s="1"/>
  <c r="I27" i="23"/>
  <c r="L81" i="23"/>
  <c r="M81" i="22"/>
  <c r="M81" i="23" s="1"/>
  <c r="N31" i="22"/>
  <c r="N31" i="23" s="1"/>
  <c r="M60" i="22"/>
  <c r="M60" i="23" s="1"/>
  <c r="L60" i="23"/>
  <c r="M11" i="23"/>
  <c r="N11" i="22"/>
  <c r="N11" i="23" s="1"/>
  <c r="N62" i="22"/>
  <c r="N62" i="23" s="1"/>
  <c r="M62" i="23"/>
  <c r="I81" i="23"/>
  <c r="L104" i="23"/>
  <c r="M104" i="22"/>
  <c r="M56" i="23"/>
  <c r="N56" i="22"/>
  <c r="N56" i="23" s="1"/>
  <c r="N106" i="22"/>
  <c r="N106" i="23" s="1"/>
  <c r="M98" i="22"/>
  <c r="M98" i="23" s="1"/>
  <c r="M46" i="23"/>
  <c r="N46" i="22"/>
  <c r="N46" i="23" s="1"/>
  <c r="M53" i="23"/>
  <c r="N53" i="22"/>
  <c r="N53" i="23" s="1"/>
  <c r="M28" i="23"/>
  <c r="N28" i="22"/>
  <c r="N28" i="23" s="1"/>
  <c r="M61" i="23"/>
  <c r="N61" i="22"/>
  <c r="N61" i="23" s="1"/>
  <c r="K12" i="23"/>
  <c r="K10" i="22"/>
  <c r="E13" i="24" s="1"/>
  <c r="E41" i="24" s="1"/>
  <c r="M112" i="22"/>
  <c r="M112" i="23" s="1"/>
  <c r="L86" i="22"/>
  <c r="M39" i="22"/>
  <c r="M39" i="23" s="1"/>
  <c r="L39" i="23"/>
  <c r="L19" i="23"/>
  <c r="M19" i="22"/>
  <c r="M103" i="23"/>
  <c r="N103" i="22"/>
  <c r="N103" i="23" s="1"/>
  <c r="M93" i="22"/>
  <c r="M93" i="23" s="1"/>
  <c r="L93" i="23"/>
  <c r="J86" i="22"/>
  <c r="J86" i="23" s="1"/>
  <c r="K101" i="23"/>
  <c r="K107" i="22"/>
  <c r="K107" i="23" s="1"/>
  <c r="I60" i="23"/>
  <c r="H101" i="23"/>
  <c r="H107" i="22"/>
  <c r="H107" i="23" s="1"/>
  <c r="N58" i="22"/>
  <c r="N58" i="23" s="1"/>
  <c r="N67" i="22"/>
  <c r="N67" i="23" s="1"/>
  <c r="N83" i="22"/>
  <c r="N83" i="23" s="1"/>
  <c r="N82" i="22"/>
  <c r="N82" i="23" s="1"/>
  <c r="M80" i="23"/>
  <c r="N80" i="22"/>
  <c r="N80" i="23" s="1"/>
  <c r="M48" i="23"/>
  <c r="N48" i="22"/>
  <c r="N48" i="23" s="1"/>
  <c r="M73" i="22"/>
  <c r="M73" i="23" s="1"/>
  <c r="L73" i="23"/>
  <c r="I93" i="23"/>
  <c r="M77" i="23"/>
  <c r="N77" i="22"/>
  <c r="N77" i="23" s="1"/>
  <c r="M12" i="22"/>
  <c r="M12" i="23" s="1"/>
  <c r="I12" i="23"/>
  <c r="K86" i="22"/>
  <c r="K86" i="23" s="1"/>
  <c r="N41" i="22"/>
  <c r="N41" i="23" s="1"/>
  <c r="H10" i="22"/>
  <c r="B13" i="24" s="1"/>
  <c r="B41" i="24" s="1"/>
  <c r="M113" i="23"/>
  <c r="N113" i="22"/>
  <c r="N113" i="23" s="1"/>
  <c r="L42" i="23"/>
  <c r="H39" i="23"/>
  <c r="H86" i="22"/>
  <c r="H86" i="23" s="1"/>
  <c r="N76" i="22"/>
  <c r="N76" i="23" s="1"/>
  <c r="N32" i="22"/>
  <c r="N32" i="23" s="1"/>
  <c r="N49" i="22"/>
  <c r="N49" i="23" s="1"/>
  <c r="M27" i="22"/>
  <c r="M27" i="23" s="1"/>
  <c r="I101" i="23"/>
  <c r="I107" i="22"/>
  <c r="M54" i="23"/>
  <c r="N54" i="22"/>
  <c r="N54" i="23" s="1"/>
  <c r="J104" i="23"/>
  <c r="J107" i="22"/>
  <c r="J107" i="23" s="1"/>
  <c r="M35" i="23"/>
  <c r="N35" i="22"/>
  <c r="N35" i="23" s="1"/>
  <c r="M64" i="23"/>
  <c r="N64" i="22"/>
  <c r="N64" i="23" s="1"/>
  <c r="M66" i="22"/>
  <c r="L66" i="23"/>
  <c r="N45" i="22"/>
  <c r="N45" i="23" s="1"/>
  <c r="M45" i="23"/>
  <c r="H119" i="22"/>
  <c r="H119" i="23" s="1"/>
  <c r="H112" i="23"/>
  <c r="M72" i="23"/>
  <c r="N72" i="22"/>
  <c r="N72" i="23" s="1"/>
  <c r="M40" i="23"/>
  <c r="N40" i="22"/>
  <c r="N40" i="23" s="1"/>
  <c r="K112" i="23"/>
  <c r="K119" i="22"/>
  <c r="K119" i="23" s="1"/>
  <c r="N68" i="22"/>
  <c r="N68" i="23" s="1"/>
  <c r="I39" i="23"/>
  <c r="M69" i="23"/>
  <c r="N69" i="22"/>
  <c r="N69" i="23" s="1"/>
  <c r="M107" i="22" l="1"/>
  <c r="M107" i="23" s="1"/>
  <c r="D39" i="24"/>
  <c r="D9" i="24"/>
  <c r="D37" i="24" s="1"/>
  <c r="C9" i="24"/>
  <c r="C37" i="24" s="1"/>
  <c r="B39" i="24"/>
  <c r="B9" i="24"/>
  <c r="B37" i="24" s="1"/>
  <c r="L36" i="22"/>
  <c r="L36" i="23" s="1"/>
  <c r="N81" i="22"/>
  <c r="N81" i="23" s="1"/>
  <c r="E9" i="24"/>
  <c r="L10" i="23"/>
  <c r="F9" i="24"/>
  <c r="N101" i="22"/>
  <c r="N101" i="23" s="1"/>
  <c r="N78" i="22"/>
  <c r="N78" i="23" s="1"/>
  <c r="I10" i="23"/>
  <c r="I36" i="22"/>
  <c r="I36" i="23" s="1"/>
  <c r="M10" i="22"/>
  <c r="M10" i="23" s="1"/>
  <c r="N60" i="22"/>
  <c r="N60" i="23" s="1"/>
  <c r="N73" i="22"/>
  <c r="N73" i="23" s="1"/>
  <c r="J43" i="25"/>
  <c r="J33" i="25"/>
  <c r="J38" i="25"/>
  <c r="N12" i="22"/>
  <c r="N12" i="23" s="1"/>
  <c r="N93" i="22"/>
  <c r="N93" i="23" s="1"/>
  <c r="N39" i="22"/>
  <c r="N39" i="23" s="1"/>
  <c r="K36" i="22"/>
  <c r="K10" i="23"/>
  <c r="M19" i="23"/>
  <c r="N19" i="22"/>
  <c r="N19" i="23" s="1"/>
  <c r="I119" i="23"/>
  <c r="M119" i="22"/>
  <c r="M119" i="23" s="1"/>
  <c r="M66" i="23"/>
  <c r="N66" i="22"/>
  <c r="N66" i="23" s="1"/>
  <c r="N27" i="22"/>
  <c r="N27" i="23" s="1"/>
  <c r="N112" i="22"/>
  <c r="N112" i="23" s="1"/>
  <c r="H36" i="22"/>
  <c r="H10" i="23"/>
  <c r="I107" i="23"/>
  <c r="J10" i="23"/>
  <c r="J36" i="22"/>
  <c r="L86" i="23"/>
  <c r="M104" i="23"/>
  <c r="N104" i="22"/>
  <c r="N104" i="23" s="1"/>
  <c r="N107" i="22" l="1"/>
  <c r="N107" i="23" s="1"/>
  <c r="L88" i="22"/>
  <c r="L88" i="23" s="1"/>
  <c r="E37" i="24"/>
  <c r="N10" i="22"/>
  <c r="N10" i="23" s="1"/>
  <c r="F37" i="24"/>
  <c r="M36" i="22"/>
  <c r="M36" i="23" s="1"/>
  <c r="H36" i="23"/>
  <c r="H88" i="22"/>
  <c r="N119" i="22"/>
  <c r="N119" i="23" s="1"/>
  <c r="J36" i="23"/>
  <c r="J88" i="22"/>
  <c r="K36" i="23"/>
  <c r="K88" i="22"/>
  <c r="L109" i="22" l="1"/>
  <c r="L109" i="23" s="1"/>
  <c r="N36" i="22"/>
  <c r="N36" i="23" s="1"/>
  <c r="K88" i="23"/>
  <c r="K109" i="22"/>
  <c r="H109" i="22"/>
  <c r="H88" i="23"/>
  <c r="J109" i="22"/>
  <c r="J88" i="23"/>
  <c r="L121" i="22" l="1"/>
  <c r="L121" i="23" s="1"/>
  <c r="J109" i="23"/>
  <c r="J121" i="22"/>
  <c r="J121" i="23" s="1"/>
  <c r="H121" i="22"/>
  <c r="H121" i="23" s="1"/>
  <c r="H109" i="23"/>
  <c r="K109" i="23"/>
  <c r="K121" i="22"/>
  <c r="K121" i="23" s="1"/>
  <c r="X1093" i="21" l="1"/>
  <c r="X245" i="21" l="1"/>
  <c r="I47" i="22"/>
  <c r="F21" i="25"/>
  <c r="X246" i="21"/>
  <c r="Y246" i="21" s="1"/>
  <c r="W246" i="21"/>
  <c r="V1092" i="21" l="1"/>
  <c r="V1094" i="21" s="1"/>
  <c r="M47" i="22"/>
  <c r="M47" i="23" s="1"/>
  <c r="I42" i="22"/>
  <c r="I47" i="23"/>
  <c r="W245" i="21"/>
  <c r="X1092" i="21"/>
  <c r="X1094" i="21" s="1"/>
  <c r="K21" i="25"/>
  <c r="F24" i="25"/>
  <c r="Y245" i="21"/>
  <c r="B7" i="24"/>
  <c r="N47" i="22" l="1"/>
  <c r="N47" i="23" s="1"/>
  <c r="B35" i="24"/>
  <c r="B18" i="24"/>
  <c r="B46" i="24" s="1"/>
  <c r="I42" i="23"/>
  <c r="M42" i="22"/>
  <c r="M42" i="23" s="1"/>
  <c r="I86" i="22"/>
  <c r="F33" i="25"/>
  <c r="K33" i="25" s="1"/>
  <c r="F38" i="25"/>
  <c r="K24" i="25"/>
  <c r="N1094" i="21"/>
  <c r="N42" i="22" l="1"/>
  <c r="N42" i="23" s="1"/>
  <c r="F43" i="25"/>
  <c r="K43" i="25" s="1"/>
  <c r="K38" i="25"/>
  <c r="I86" i="23"/>
  <c r="M86" i="22"/>
  <c r="M86" i="23" s="1"/>
  <c r="I88" i="22"/>
  <c r="N86" i="22" l="1"/>
  <c r="N86" i="23" s="1"/>
  <c r="M88" i="22"/>
  <c r="M88" i="23" s="1"/>
  <c r="I88" i="23"/>
  <c r="I109" i="22"/>
  <c r="M118" i="10"/>
  <c r="I118" i="10"/>
  <c r="H118" i="10"/>
  <c r="M117" i="10"/>
  <c r="I117" i="10"/>
  <c r="H117" i="10"/>
  <c r="M116" i="10"/>
  <c r="I116" i="10"/>
  <c r="H116" i="10"/>
  <c r="M115" i="10"/>
  <c r="I115" i="10"/>
  <c r="H115" i="10"/>
  <c r="M114" i="10"/>
  <c r="I114" i="10"/>
  <c r="H114" i="10"/>
  <c r="M113" i="10"/>
  <c r="I113" i="10"/>
  <c r="H113" i="10"/>
  <c r="M106" i="10"/>
  <c r="I106" i="10"/>
  <c r="H106" i="10"/>
  <c r="M105" i="10"/>
  <c r="I105" i="10"/>
  <c r="H105" i="10"/>
  <c r="M103" i="10"/>
  <c r="I103" i="10"/>
  <c r="H103" i="10"/>
  <c r="M102" i="10"/>
  <c r="I102" i="10"/>
  <c r="H102" i="10"/>
  <c r="M97" i="10"/>
  <c r="I97" i="10"/>
  <c r="H97" i="10"/>
  <c r="M96" i="10"/>
  <c r="I96" i="10"/>
  <c r="H96" i="10"/>
  <c r="M92" i="10"/>
  <c r="I92" i="10"/>
  <c r="H92" i="10"/>
  <c r="M91" i="10"/>
  <c r="I91" i="10"/>
  <c r="H91" i="10"/>
  <c r="M85" i="10"/>
  <c r="I85" i="10"/>
  <c r="H85" i="10"/>
  <c r="M84" i="10"/>
  <c r="I84" i="10"/>
  <c r="H84" i="10"/>
  <c r="M83" i="10"/>
  <c r="I83" i="10"/>
  <c r="H83" i="10"/>
  <c r="M82" i="10"/>
  <c r="I82" i="10"/>
  <c r="H82" i="10"/>
  <c r="M80" i="10"/>
  <c r="I80" i="10"/>
  <c r="H80" i="10"/>
  <c r="M79" i="10"/>
  <c r="I79" i="10"/>
  <c r="H79" i="10"/>
  <c r="M77" i="10"/>
  <c r="I77" i="10"/>
  <c r="H77" i="10"/>
  <c r="M76" i="10"/>
  <c r="I76" i="10"/>
  <c r="H76" i="10"/>
  <c r="M75" i="10"/>
  <c r="I75" i="10"/>
  <c r="H75" i="10"/>
  <c r="M74" i="10"/>
  <c r="I74" i="10"/>
  <c r="H74" i="10"/>
  <c r="M72" i="10"/>
  <c r="I72" i="10"/>
  <c r="H72" i="10"/>
  <c r="M71" i="10"/>
  <c r="I71" i="10"/>
  <c r="H71" i="10"/>
  <c r="M70" i="10"/>
  <c r="I70" i="10"/>
  <c r="H70" i="10"/>
  <c r="M69" i="10"/>
  <c r="I69" i="10"/>
  <c r="H69" i="10"/>
  <c r="M68" i="10"/>
  <c r="I68" i="10"/>
  <c r="H68" i="10"/>
  <c r="M67" i="10"/>
  <c r="I67" i="10"/>
  <c r="H67" i="10"/>
  <c r="M65" i="10"/>
  <c r="I65" i="10"/>
  <c r="H65" i="10"/>
  <c r="M64" i="10"/>
  <c r="I64" i="10"/>
  <c r="H64" i="10"/>
  <c r="M63" i="10"/>
  <c r="I63" i="10"/>
  <c r="H63" i="10"/>
  <c r="M62" i="10"/>
  <c r="I62" i="10"/>
  <c r="H62" i="10"/>
  <c r="M61" i="10"/>
  <c r="I61" i="10"/>
  <c r="H61" i="10"/>
  <c r="M59" i="10"/>
  <c r="I59" i="10"/>
  <c r="H59" i="10"/>
  <c r="M58" i="10"/>
  <c r="I58" i="10"/>
  <c r="H58" i="10"/>
  <c r="M57" i="10"/>
  <c r="I57" i="10"/>
  <c r="H57" i="10"/>
  <c r="M56" i="10"/>
  <c r="I56" i="10"/>
  <c r="H56" i="10"/>
  <c r="M55" i="10"/>
  <c r="I55" i="10"/>
  <c r="H55" i="10"/>
  <c r="M54" i="10"/>
  <c r="I54" i="10"/>
  <c r="H54" i="10"/>
  <c r="M53" i="10"/>
  <c r="I53" i="10"/>
  <c r="H53" i="10"/>
  <c r="M52" i="10"/>
  <c r="I52" i="10"/>
  <c r="H52" i="10"/>
  <c r="M51" i="10"/>
  <c r="I51" i="10"/>
  <c r="H51" i="10"/>
  <c r="M50" i="10"/>
  <c r="I50" i="10"/>
  <c r="H50" i="10"/>
  <c r="M49" i="10"/>
  <c r="I49" i="10"/>
  <c r="H49" i="10"/>
  <c r="M48" i="10"/>
  <c r="I48" i="10"/>
  <c r="H48" i="10"/>
  <c r="M47" i="10"/>
  <c r="I47" i="10"/>
  <c r="H47" i="10"/>
  <c r="M46" i="10"/>
  <c r="I46" i="10"/>
  <c r="H46" i="10"/>
  <c r="M45" i="10"/>
  <c r="I45" i="10"/>
  <c r="H45" i="10"/>
  <c r="M44" i="10"/>
  <c r="I44" i="10"/>
  <c r="H44" i="10"/>
  <c r="M43" i="10"/>
  <c r="I43" i="10"/>
  <c r="H43" i="10"/>
  <c r="M41" i="10"/>
  <c r="I41" i="10"/>
  <c r="H41" i="10"/>
  <c r="M40" i="10"/>
  <c r="I40" i="10"/>
  <c r="H40" i="10"/>
  <c r="M35" i="10"/>
  <c r="I35" i="10"/>
  <c r="H35" i="10"/>
  <c r="M34" i="10"/>
  <c r="I34" i="10"/>
  <c r="H34" i="10"/>
  <c r="M33" i="10"/>
  <c r="I33" i="10"/>
  <c r="H33" i="10"/>
  <c r="M32" i="10"/>
  <c r="I32" i="10"/>
  <c r="H32" i="10"/>
  <c r="M31" i="10"/>
  <c r="I31" i="10"/>
  <c r="H31" i="10"/>
  <c r="M30" i="10"/>
  <c r="I30" i="10"/>
  <c r="H30" i="10"/>
  <c r="M29" i="10"/>
  <c r="I29" i="10"/>
  <c r="H29" i="10"/>
  <c r="M28" i="10"/>
  <c r="I28" i="10"/>
  <c r="H28" i="10"/>
  <c r="M26" i="10"/>
  <c r="I26" i="10"/>
  <c r="H26" i="10"/>
  <c r="M25" i="10"/>
  <c r="I25" i="10"/>
  <c r="H25" i="10"/>
  <c r="M24" i="10"/>
  <c r="I24" i="10"/>
  <c r="H24" i="10"/>
  <c r="M23" i="10"/>
  <c r="I23" i="10"/>
  <c r="H23" i="10"/>
  <c r="M22" i="10"/>
  <c r="I22" i="10"/>
  <c r="H22" i="10"/>
  <c r="M21" i="10"/>
  <c r="I21" i="10"/>
  <c r="H21" i="10"/>
  <c r="M20" i="10"/>
  <c r="I20" i="10"/>
  <c r="H20" i="10"/>
  <c r="M18" i="10"/>
  <c r="I18" i="10"/>
  <c r="H18" i="10"/>
  <c r="M17" i="10"/>
  <c r="I17" i="10"/>
  <c r="H17" i="10"/>
  <c r="M16" i="10"/>
  <c r="I16" i="10"/>
  <c r="H16" i="10"/>
  <c r="M15" i="10"/>
  <c r="I15" i="10"/>
  <c r="H15" i="10"/>
  <c r="M14" i="10"/>
  <c r="I14" i="10"/>
  <c r="H14" i="10"/>
  <c r="M13" i="10"/>
  <c r="I13" i="10"/>
  <c r="H13" i="10"/>
  <c r="M11" i="10"/>
  <c r="I11" i="10"/>
  <c r="H11" i="10"/>
  <c r="M8" i="10"/>
  <c r="M8" i="18" s="1"/>
  <c r="I8" i="10"/>
  <c r="H8" i="10"/>
  <c r="M118" i="18"/>
  <c r="I118" i="18"/>
  <c r="H118" i="18"/>
  <c r="M117" i="18"/>
  <c r="I117" i="18"/>
  <c r="H117" i="18"/>
  <c r="M116" i="18"/>
  <c r="I116" i="18"/>
  <c r="H116" i="18"/>
  <c r="M115" i="18"/>
  <c r="I115" i="18"/>
  <c r="H115" i="18"/>
  <c r="M114" i="18"/>
  <c r="I114" i="18"/>
  <c r="H114" i="18"/>
  <c r="M113" i="18"/>
  <c r="I113" i="18"/>
  <c r="H113" i="18"/>
  <c r="M106" i="18"/>
  <c r="I106" i="18"/>
  <c r="H106" i="18"/>
  <c r="M105" i="18"/>
  <c r="I105" i="18"/>
  <c r="H105" i="18"/>
  <c r="M103" i="18"/>
  <c r="I103" i="18"/>
  <c r="H103" i="18"/>
  <c r="M102" i="18"/>
  <c r="I102" i="18"/>
  <c r="H102" i="18"/>
  <c r="M97" i="18"/>
  <c r="I97" i="18"/>
  <c r="H97" i="18"/>
  <c r="M96" i="18"/>
  <c r="I96" i="18"/>
  <c r="H96" i="18"/>
  <c r="M92" i="18"/>
  <c r="I92" i="18"/>
  <c r="H92" i="18"/>
  <c r="M91" i="18"/>
  <c r="I91" i="18"/>
  <c r="H91" i="18"/>
  <c r="M85" i="18"/>
  <c r="I85" i="18"/>
  <c r="H85" i="18"/>
  <c r="M84" i="18"/>
  <c r="I84" i="18"/>
  <c r="H84" i="18"/>
  <c r="M83" i="18"/>
  <c r="I83" i="18"/>
  <c r="H83" i="18"/>
  <c r="M82" i="18"/>
  <c r="I82" i="18"/>
  <c r="H82" i="18"/>
  <c r="M80" i="18"/>
  <c r="I80" i="18"/>
  <c r="H80" i="18"/>
  <c r="M79" i="18"/>
  <c r="I79" i="18"/>
  <c r="H79" i="18"/>
  <c r="M77" i="18"/>
  <c r="I77" i="18"/>
  <c r="H77" i="18"/>
  <c r="M76" i="18"/>
  <c r="I76" i="18"/>
  <c r="H76" i="18"/>
  <c r="M75" i="18"/>
  <c r="I75" i="18"/>
  <c r="H75" i="18"/>
  <c r="M74" i="18"/>
  <c r="I74" i="18"/>
  <c r="H74" i="18"/>
  <c r="M72" i="18"/>
  <c r="I72" i="18"/>
  <c r="H72" i="18"/>
  <c r="M71" i="18"/>
  <c r="I71" i="18"/>
  <c r="H71" i="18"/>
  <c r="M70" i="18"/>
  <c r="I70" i="18"/>
  <c r="H70" i="18"/>
  <c r="M69" i="18"/>
  <c r="I69" i="18"/>
  <c r="H69" i="18"/>
  <c r="M68" i="18"/>
  <c r="I68" i="18"/>
  <c r="H68" i="18"/>
  <c r="M67" i="18"/>
  <c r="I67" i="18"/>
  <c r="H67" i="18"/>
  <c r="M65" i="18"/>
  <c r="I65" i="18"/>
  <c r="H65" i="18"/>
  <c r="M64" i="18"/>
  <c r="I64" i="18"/>
  <c r="H64" i="18"/>
  <c r="M63" i="18"/>
  <c r="I63" i="18"/>
  <c r="H63" i="18"/>
  <c r="M62" i="18"/>
  <c r="I62" i="18"/>
  <c r="H62" i="18"/>
  <c r="M61" i="18"/>
  <c r="I61" i="18"/>
  <c r="H61" i="18"/>
  <c r="M59" i="18"/>
  <c r="I59" i="18"/>
  <c r="H59" i="18"/>
  <c r="M58" i="18"/>
  <c r="I58" i="18"/>
  <c r="H58" i="18"/>
  <c r="M57" i="18"/>
  <c r="I57" i="18"/>
  <c r="H57" i="18"/>
  <c r="M56" i="18"/>
  <c r="I56" i="18"/>
  <c r="H56" i="18"/>
  <c r="M55" i="18"/>
  <c r="I55" i="18"/>
  <c r="H55" i="18"/>
  <c r="M54" i="18"/>
  <c r="I54" i="18"/>
  <c r="H54" i="18"/>
  <c r="M53" i="18"/>
  <c r="I53" i="18"/>
  <c r="H53" i="18"/>
  <c r="M52" i="18"/>
  <c r="I52" i="18"/>
  <c r="H52" i="18"/>
  <c r="M51" i="18"/>
  <c r="I51" i="18"/>
  <c r="H51" i="18"/>
  <c r="M50" i="18"/>
  <c r="I50" i="18"/>
  <c r="H50" i="18"/>
  <c r="M49" i="18"/>
  <c r="I49" i="18"/>
  <c r="H49" i="18"/>
  <c r="M48" i="18"/>
  <c r="I48" i="18"/>
  <c r="H48" i="18"/>
  <c r="M47" i="18"/>
  <c r="I47" i="18"/>
  <c r="H47" i="18"/>
  <c r="M46" i="18"/>
  <c r="I46" i="18"/>
  <c r="H46" i="18"/>
  <c r="M45" i="18"/>
  <c r="I45" i="18"/>
  <c r="H45" i="18"/>
  <c r="M44" i="18"/>
  <c r="I44" i="18"/>
  <c r="H44" i="18"/>
  <c r="M43" i="18"/>
  <c r="I43" i="18"/>
  <c r="H43" i="18"/>
  <c r="M41" i="18"/>
  <c r="I41" i="18"/>
  <c r="H41" i="18"/>
  <c r="M40" i="18"/>
  <c r="I40" i="18"/>
  <c r="H40" i="18"/>
  <c r="M35" i="18"/>
  <c r="I35" i="18"/>
  <c r="H35" i="18"/>
  <c r="M34" i="18"/>
  <c r="I34" i="18"/>
  <c r="H34" i="18"/>
  <c r="M33" i="18"/>
  <c r="I33" i="18"/>
  <c r="H33" i="18"/>
  <c r="M32" i="18"/>
  <c r="I32" i="18"/>
  <c r="H32" i="18"/>
  <c r="M31" i="18"/>
  <c r="I31" i="18"/>
  <c r="H31" i="18"/>
  <c r="M30" i="18"/>
  <c r="I30" i="18"/>
  <c r="H30" i="18"/>
  <c r="M29" i="18"/>
  <c r="I29" i="18"/>
  <c r="H29" i="18"/>
  <c r="M28" i="18"/>
  <c r="I28" i="18"/>
  <c r="H28" i="18"/>
  <c r="M26" i="18"/>
  <c r="I26" i="18"/>
  <c r="H26" i="18"/>
  <c r="M25" i="18"/>
  <c r="I25" i="18"/>
  <c r="H25" i="18"/>
  <c r="M24" i="18"/>
  <c r="I24" i="18"/>
  <c r="H24" i="18"/>
  <c r="M23" i="18"/>
  <c r="I23" i="18"/>
  <c r="H23" i="18"/>
  <c r="M22" i="18"/>
  <c r="I22" i="18"/>
  <c r="H22" i="18"/>
  <c r="M21" i="18"/>
  <c r="I21" i="18"/>
  <c r="H21" i="18"/>
  <c r="M20" i="18"/>
  <c r="I20" i="18"/>
  <c r="H20" i="18"/>
  <c r="M18" i="18"/>
  <c r="I18" i="18"/>
  <c r="H18" i="18"/>
  <c r="M17" i="18"/>
  <c r="I17" i="18"/>
  <c r="H17" i="18"/>
  <c r="M16" i="18"/>
  <c r="I16" i="18"/>
  <c r="H16" i="18"/>
  <c r="M15" i="18"/>
  <c r="I15" i="18"/>
  <c r="H15" i="18"/>
  <c r="M14" i="18"/>
  <c r="I14" i="18"/>
  <c r="H14" i="18"/>
  <c r="M13" i="18"/>
  <c r="I13" i="18"/>
  <c r="H13" i="18"/>
  <c r="M11" i="18"/>
  <c r="I11" i="18"/>
  <c r="H11" i="18"/>
  <c r="I8" i="18"/>
  <c r="H8" i="18"/>
  <c r="N88" i="22" l="1"/>
  <c r="N88" i="23" s="1"/>
  <c r="M109" i="22"/>
  <c r="M109" i="23" s="1"/>
  <c r="I109" i="23"/>
  <c r="I121" i="22"/>
  <c r="J43" i="10"/>
  <c r="J40" i="10"/>
  <c r="N109" i="22" l="1"/>
  <c r="N109" i="23" s="1"/>
  <c r="I121" i="23"/>
  <c r="M121" i="22"/>
  <c r="M121" i="23" s="1"/>
  <c r="F7" i="24"/>
  <c r="E7" i="24"/>
  <c r="D7" i="24"/>
  <c r="C7" i="24"/>
  <c r="N121" i="22" l="1"/>
  <c r="N121" i="23" s="1"/>
  <c r="F35" i="24"/>
  <c r="F18" i="24"/>
  <c r="F46" i="24" s="1"/>
  <c r="C35" i="24"/>
  <c r="C18" i="24"/>
  <c r="C46" i="24" s="1"/>
  <c r="E35" i="24"/>
  <c r="E18" i="24"/>
  <c r="E46" i="24" s="1"/>
  <c r="D35" i="24"/>
  <c r="D18" i="24"/>
  <c r="D46" i="24" s="1"/>
  <c r="Y1093" i="21"/>
  <c r="U1092" i="21"/>
  <c r="Y1092" i="21"/>
  <c r="W1093" i="21"/>
  <c r="U1093" i="21"/>
  <c r="W1092" i="21"/>
  <c r="Y1094" i="21" l="1"/>
  <c r="W1094" i="21"/>
  <c r="U1094" i="21"/>
  <c r="M8" i="11" l="1"/>
  <c r="I8" i="19"/>
  <c r="H8" i="19"/>
  <c r="H17" i="19"/>
  <c r="M17" i="19"/>
  <c r="H59" i="19"/>
  <c r="K59" i="18"/>
  <c r="K59" i="19" s="1"/>
  <c r="M59" i="19"/>
  <c r="I17" i="11"/>
  <c r="M17" i="11"/>
  <c r="M59" i="11"/>
  <c r="M8" i="19"/>
  <c r="H9" i="19"/>
  <c r="I9" i="19"/>
  <c r="J9" i="19"/>
  <c r="K9" i="19"/>
  <c r="M9" i="19"/>
  <c r="I24" i="19"/>
  <c r="H37" i="19"/>
  <c r="I37" i="19"/>
  <c r="J37" i="19"/>
  <c r="K37" i="19"/>
  <c r="M37" i="19"/>
  <c r="H38" i="19"/>
  <c r="I38" i="19"/>
  <c r="J38" i="19"/>
  <c r="K38" i="19"/>
  <c r="M38" i="19"/>
  <c r="H87" i="19"/>
  <c r="I87" i="19"/>
  <c r="J87" i="19"/>
  <c r="K87" i="19"/>
  <c r="M87" i="19"/>
  <c r="H89" i="19"/>
  <c r="I89" i="19"/>
  <c r="J89" i="19"/>
  <c r="K89" i="19"/>
  <c r="M89" i="19"/>
  <c r="H90" i="19"/>
  <c r="I90" i="19"/>
  <c r="J90" i="19"/>
  <c r="K90" i="19"/>
  <c r="M90" i="19"/>
  <c r="H94" i="19"/>
  <c r="I94" i="19"/>
  <c r="J94" i="19"/>
  <c r="K94" i="19"/>
  <c r="M94" i="19"/>
  <c r="H95" i="19"/>
  <c r="I95" i="19"/>
  <c r="J95" i="19"/>
  <c r="K95" i="19"/>
  <c r="M95" i="19"/>
  <c r="H99" i="19"/>
  <c r="I99" i="19"/>
  <c r="J99" i="19"/>
  <c r="K99" i="19"/>
  <c r="M99" i="19"/>
  <c r="H100" i="19"/>
  <c r="I100" i="19"/>
  <c r="J100" i="19"/>
  <c r="K100" i="19"/>
  <c r="M100" i="19"/>
  <c r="H108" i="19"/>
  <c r="I108" i="19"/>
  <c r="J108" i="19"/>
  <c r="K108" i="19"/>
  <c r="M108" i="19"/>
  <c r="H110" i="19"/>
  <c r="I110" i="19"/>
  <c r="J110" i="19"/>
  <c r="K110" i="19"/>
  <c r="M110" i="19"/>
  <c r="H111" i="19"/>
  <c r="I111" i="19"/>
  <c r="J111" i="19"/>
  <c r="K111" i="19"/>
  <c r="M111" i="19"/>
  <c r="H120" i="19"/>
  <c r="I120" i="19"/>
  <c r="J120" i="19"/>
  <c r="K120" i="19"/>
  <c r="M120" i="19"/>
  <c r="H9" i="11"/>
  <c r="I9" i="11"/>
  <c r="J9" i="11"/>
  <c r="K9" i="11"/>
  <c r="I24" i="11"/>
  <c r="H37" i="11"/>
  <c r="I37" i="11"/>
  <c r="J37" i="11"/>
  <c r="K37" i="11"/>
  <c r="M37" i="11"/>
  <c r="H38" i="11"/>
  <c r="I38" i="11"/>
  <c r="J38" i="11"/>
  <c r="K38" i="11"/>
  <c r="M38" i="11"/>
  <c r="H87" i="11"/>
  <c r="I87" i="11"/>
  <c r="J87" i="11"/>
  <c r="K87" i="11"/>
  <c r="M87" i="11"/>
  <c r="H89" i="11"/>
  <c r="I89" i="11"/>
  <c r="J89" i="11"/>
  <c r="K89" i="11"/>
  <c r="M89" i="11"/>
  <c r="H90" i="11"/>
  <c r="I90" i="11"/>
  <c r="J90" i="11"/>
  <c r="K90" i="11"/>
  <c r="M90" i="11"/>
  <c r="H94" i="11"/>
  <c r="I94" i="11"/>
  <c r="J94" i="11"/>
  <c r="K94" i="11"/>
  <c r="M94" i="11"/>
  <c r="H95" i="11"/>
  <c r="I95" i="11"/>
  <c r="J95" i="11"/>
  <c r="K95" i="11"/>
  <c r="M95" i="11"/>
  <c r="H99" i="11"/>
  <c r="I99" i="11"/>
  <c r="J99" i="11"/>
  <c r="K99" i="11"/>
  <c r="M99" i="11"/>
  <c r="H100" i="11"/>
  <c r="I100" i="11"/>
  <c r="J100" i="11"/>
  <c r="K100" i="11"/>
  <c r="M100" i="11"/>
  <c r="H108" i="11"/>
  <c r="I108" i="11"/>
  <c r="J108" i="11"/>
  <c r="K108" i="11"/>
  <c r="M108" i="11"/>
  <c r="H110" i="11"/>
  <c r="I110" i="11"/>
  <c r="J110" i="11"/>
  <c r="K110" i="11"/>
  <c r="M110" i="11"/>
  <c r="H111" i="11"/>
  <c r="I111" i="11"/>
  <c r="J111" i="11"/>
  <c r="K111" i="11"/>
  <c r="M111" i="11"/>
  <c r="H120" i="11"/>
  <c r="I120" i="11"/>
  <c r="J120" i="11"/>
  <c r="K120" i="11"/>
  <c r="M120" i="11"/>
  <c r="M51" i="11"/>
  <c r="I118" i="19"/>
  <c r="M22" i="11"/>
  <c r="M63" i="19"/>
  <c r="M114" i="11"/>
  <c r="M50" i="11"/>
  <c r="I75" i="11"/>
  <c r="I50" i="11"/>
  <c r="M80" i="19"/>
  <c r="M91" i="11"/>
  <c r="M96" i="19"/>
  <c r="H25" i="19"/>
  <c r="M79" i="19"/>
  <c r="H105" i="19"/>
  <c r="M55" i="19"/>
  <c r="M116" i="11"/>
  <c r="M116" i="19"/>
  <c r="H118" i="19"/>
  <c r="I50" i="19"/>
  <c r="I75" i="19"/>
  <c r="I116" i="11"/>
  <c r="M115" i="11"/>
  <c r="M115" i="19"/>
  <c r="M80" i="11"/>
  <c r="M96" i="11"/>
  <c r="M114" i="19"/>
  <c r="M46" i="19"/>
  <c r="M46" i="11"/>
  <c r="H55" i="19"/>
  <c r="M75" i="19"/>
  <c r="M75" i="11"/>
  <c r="M102" i="11"/>
  <c r="M50" i="19"/>
  <c r="M83" i="11"/>
  <c r="M83" i="19"/>
  <c r="M11" i="11"/>
  <c r="M11" i="19"/>
  <c r="M14" i="19"/>
  <c r="M14" i="11"/>
  <c r="M25" i="19"/>
  <c r="M25" i="11"/>
  <c r="H25" i="11"/>
  <c r="M16" i="11"/>
  <c r="M15" i="19"/>
  <c r="M20" i="19"/>
  <c r="M23" i="11"/>
  <c r="M20" i="11"/>
  <c r="M21" i="11"/>
  <c r="M22" i="19"/>
  <c r="M23" i="19"/>
  <c r="M21" i="19"/>
  <c r="H20" i="11"/>
  <c r="H20" i="19"/>
  <c r="M48" i="19"/>
  <c r="M48" i="11"/>
  <c r="M117" i="11"/>
  <c r="I55" i="19"/>
  <c r="I114" i="11"/>
  <c r="I114" i="19"/>
  <c r="K14" i="18"/>
  <c r="K14" i="19" s="1"/>
  <c r="I29" i="11"/>
  <c r="I13" i="11"/>
  <c r="I82" i="19"/>
  <c r="I14" i="11"/>
  <c r="I84" i="11"/>
  <c r="I22" i="19"/>
  <c r="I20" i="19"/>
  <c r="I20" i="11"/>
  <c r="I21" i="19"/>
  <c r="I22" i="11"/>
  <c r="I115" i="11"/>
  <c r="I115" i="19"/>
  <c r="I16" i="19"/>
  <c r="I16" i="11"/>
  <c r="I113" i="19"/>
  <c r="I113" i="11"/>
  <c r="I34" i="11"/>
  <c r="I34" i="19"/>
  <c r="I54" i="11"/>
  <c r="H14" i="19"/>
  <c r="H53" i="19"/>
  <c r="H115" i="19"/>
  <c r="H50" i="19"/>
  <c r="H117" i="19"/>
  <c r="H83" i="19"/>
  <c r="H114" i="19"/>
  <c r="H75" i="19"/>
  <c r="I47" i="19"/>
  <c r="I47" i="11"/>
  <c r="H82" i="19"/>
  <c r="I82" i="11"/>
  <c r="I69" i="19"/>
  <c r="H11" i="19"/>
  <c r="H26" i="19"/>
  <c r="H26" i="11"/>
  <c r="I45" i="11"/>
  <c r="I77" i="19"/>
  <c r="I77" i="11"/>
  <c r="I85" i="11"/>
  <c r="M71" i="11"/>
  <c r="H64" i="19"/>
  <c r="M33" i="11"/>
  <c r="I62" i="19"/>
  <c r="I62" i="11"/>
  <c r="H30" i="19"/>
  <c r="I102" i="19"/>
  <c r="I91" i="19"/>
  <c r="I18" i="11"/>
  <c r="I25" i="19"/>
  <c r="I54" i="19"/>
  <c r="H74" i="19"/>
  <c r="I106" i="19"/>
  <c r="M32" i="19"/>
  <c r="M32" i="11"/>
  <c r="I83" i="11"/>
  <c r="I83" i="19"/>
  <c r="H31" i="19"/>
  <c r="I51" i="19"/>
  <c r="I51" i="11"/>
  <c r="M43" i="11"/>
  <c r="I117" i="19"/>
  <c r="I117" i="11"/>
  <c r="I79" i="19"/>
  <c r="M68" i="19"/>
  <c r="M69" i="19"/>
  <c r="H56" i="19"/>
  <c r="I72" i="19"/>
  <c r="I48" i="11"/>
  <c r="I48" i="19"/>
  <c r="H52" i="19"/>
  <c r="H58" i="19"/>
  <c r="I26" i="11"/>
  <c r="I105" i="19"/>
  <c r="I105" i="11"/>
  <c r="I102" i="11"/>
  <c r="I67" i="19"/>
  <c r="M29" i="11"/>
  <c r="M29" i="19"/>
  <c r="M103" i="11"/>
  <c r="M103" i="19"/>
  <c r="M35" i="11"/>
  <c r="M35" i="19"/>
  <c r="I32" i="11"/>
  <c r="I32" i="19"/>
  <c r="M34" i="19"/>
  <c r="M34" i="11"/>
  <c r="M84" i="11"/>
  <c r="I69" i="11"/>
  <c r="M30" i="11"/>
  <c r="M105" i="11"/>
  <c r="I74" i="11"/>
  <c r="M67" i="19"/>
  <c r="I26" i="19"/>
  <c r="I55" i="11"/>
  <c r="I44" i="11"/>
  <c r="I29" i="19"/>
  <c r="I53" i="11"/>
  <c r="M117" i="19"/>
  <c r="M15" i="11"/>
  <c r="I84" i="19"/>
  <c r="I49" i="19"/>
  <c r="M97" i="11"/>
  <c r="M97" i="19"/>
  <c r="M74" i="19"/>
  <c r="M58" i="19"/>
  <c r="I49" i="11"/>
  <c r="M51" i="19"/>
  <c r="M61" i="19"/>
  <c r="M61" i="11"/>
  <c r="H65" i="19"/>
  <c r="M33" i="19"/>
  <c r="H51" i="19"/>
  <c r="H71" i="19"/>
  <c r="M55" i="11"/>
  <c r="M69" i="11"/>
  <c r="M63" i="11"/>
  <c r="J24" i="18"/>
  <c r="J24" i="19" s="1"/>
  <c r="J24" i="10"/>
  <c r="J24" i="11" s="1"/>
  <c r="M31" i="11"/>
  <c r="M106" i="19"/>
  <c r="I70" i="19"/>
  <c r="H84" i="19"/>
  <c r="M82" i="19"/>
  <c r="I43" i="11"/>
  <c r="M68" i="11"/>
  <c r="I80" i="11"/>
  <c r="M70" i="11"/>
  <c r="M43" i="19"/>
  <c r="I44" i="19"/>
  <c r="I70" i="11"/>
  <c r="M52" i="19"/>
  <c r="M44" i="11"/>
  <c r="I106" i="11"/>
  <c r="I56" i="11"/>
  <c r="I85" i="19"/>
  <c r="I67" i="11"/>
  <c r="I58" i="19"/>
  <c r="H33" i="19"/>
  <c r="H103" i="19"/>
  <c r="H72" i="19"/>
  <c r="I61" i="11"/>
  <c r="M28" i="19"/>
  <c r="M65" i="11"/>
  <c r="M65" i="19"/>
  <c r="M118" i="11"/>
  <c r="M118" i="19"/>
  <c r="M58" i="11"/>
  <c r="M24" i="19"/>
  <c r="M24" i="11"/>
  <c r="I46" i="11"/>
  <c r="I46" i="19"/>
  <c r="I30" i="11"/>
  <c r="I15" i="19"/>
  <c r="M72" i="19"/>
  <c r="M72" i="11"/>
  <c r="I68" i="19"/>
  <c r="I68" i="11"/>
  <c r="I28" i="19"/>
  <c r="I35" i="19"/>
  <c r="M70" i="19"/>
  <c r="I65" i="19"/>
  <c r="I65" i="11"/>
  <c r="M26" i="19"/>
  <c r="M26" i="11"/>
  <c r="M62" i="11"/>
  <c r="I41" i="19"/>
  <c r="I41" i="11"/>
  <c r="M85" i="11"/>
  <c r="M85" i="19"/>
  <c r="M44" i="19"/>
  <c r="I53" i="19"/>
  <c r="I96" i="11"/>
  <c r="M49" i="11"/>
  <c r="M49" i="19"/>
  <c r="H49" i="19"/>
  <c r="M31" i="19"/>
  <c r="I72" i="11"/>
  <c r="M52" i="11"/>
  <c r="M47" i="11"/>
  <c r="I57" i="19"/>
  <c r="M13" i="19"/>
  <c r="M13" i="11"/>
  <c r="M30" i="19"/>
  <c r="I11" i="11"/>
  <c r="I11" i="19"/>
  <c r="I23" i="11"/>
  <c r="I71" i="11"/>
  <c r="I71" i="19"/>
  <c r="K97" i="18"/>
  <c r="K97" i="19" s="1"/>
  <c r="I97" i="11"/>
  <c r="M54" i="19"/>
  <c r="M54" i="11"/>
  <c r="M53" i="11"/>
  <c r="M53" i="19"/>
  <c r="H43" i="19"/>
  <c r="M113" i="19"/>
  <c r="M18" i="19"/>
  <c r="M18" i="11"/>
  <c r="I64" i="11"/>
  <c r="I64" i="19"/>
  <c r="M76" i="11"/>
  <c r="M76" i="19"/>
  <c r="I80" i="19"/>
  <c r="M64" i="11"/>
  <c r="M64" i="19"/>
  <c r="M74" i="11"/>
  <c r="M47" i="19"/>
  <c r="M41" i="19"/>
  <c r="M41" i="11"/>
  <c r="H13" i="19"/>
  <c r="H13" i="11"/>
  <c r="I92" i="11"/>
  <c r="I52" i="11"/>
  <c r="I52" i="19"/>
  <c r="I58" i="11"/>
  <c r="I31" i="11"/>
  <c r="I31" i="19"/>
  <c r="M40" i="11"/>
  <c r="M40" i="19"/>
  <c r="I103" i="11"/>
  <c r="I103" i="19"/>
  <c r="H15" i="19"/>
  <c r="M56" i="19"/>
  <c r="M56" i="11"/>
  <c r="I76" i="11"/>
  <c r="I76" i="19"/>
  <c r="I33" i="19"/>
  <c r="H70" i="19"/>
  <c r="I63" i="19"/>
  <c r="I63" i="11"/>
  <c r="M45" i="11"/>
  <c r="M45" i="19"/>
  <c r="I56" i="19"/>
  <c r="M92" i="19"/>
  <c r="M92" i="11"/>
  <c r="M57" i="19"/>
  <c r="M57" i="11"/>
  <c r="M77" i="11"/>
  <c r="M77" i="19"/>
  <c r="M106" i="11"/>
  <c r="H62" i="19"/>
  <c r="H8" i="11" l="1"/>
  <c r="I33" i="11"/>
  <c r="I91" i="11"/>
  <c r="I35" i="11"/>
  <c r="J7" i="18"/>
  <c r="H45" i="11"/>
  <c r="H57" i="11"/>
  <c r="H65" i="11"/>
  <c r="H47" i="11"/>
  <c r="H28" i="11"/>
  <c r="H30" i="11"/>
  <c r="H48" i="11"/>
  <c r="H96" i="11"/>
  <c r="H44" i="11"/>
  <c r="H62" i="11"/>
  <c r="H41" i="11"/>
  <c r="H102" i="11"/>
  <c r="H82" i="11"/>
  <c r="H22" i="11"/>
  <c r="H116" i="11"/>
  <c r="H67" i="11"/>
  <c r="H15" i="11"/>
  <c r="H46" i="11"/>
  <c r="H40" i="11"/>
  <c r="H35" i="11"/>
  <c r="H117" i="11"/>
  <c r="H33" i="11"/>
  <c r="H92" i="11"/>
  <c r="H50" i="11"/>
  <c r="H103" i="11"/>
  <c r="H11" i="11"/>
  <c r="H32" i="11"/>
  <c r="H52" i="11"/>
  <c r="H56" i="11"/>
  <c r="H77" i="11"/>
  <c r="H80" i="11"/>
  <c r="H113" i="11"/>
  <c r="H68" i="11"/>
  <c r="H61" i="11"/>
  <c r="H31" i="11"/>
  <c r="H75" i="11"/>
  <c r="H97" i="11"/>
  <c r="H118" i="11"/>
  <c r="H59" i="11"/>
  <c r="K102" i="18"/>
  <c r="K102" i="19" s="1"/>
  <c r="K24" i="18"/>
  <c r="K24" i="19" s="1"/>
  <c r="J79" i="18"/>
  <c r="J79" i="19" s="1"/>
  <c r="M78" i="10"/>
  <c r="M78" i="11" s="1"/>
  <c r="J11" i="10"/>
  <c r="J11" i="11" s="1"/>
  <c r="J84" i="10"/>
  <c r="K84" i="10" s="1"/>
  <c r="K84" i="11" s="1"/>
  <c r="K75" i="18"/>
  <c r="K75" i="19" s="1"/>
  <c r="J51" i="18"/>
  <c r="J51" i="19" s="1"/>
  <c r="J114" i="10"/>
  <c r="J114" i="11" s="1"/>
  <c r="J106" i="18"/>
  <c r="K106" i="18" s="1"/>
  <c r="K106" i="19" s="1"/>
  <c r="K117" i="10"/>
  <c r="K117" i="11" s="1"/>
  <c r="J92" i="10"/>
  <c r="J92" i="11" s="1"/>
  <c r="I78" i="10"/>
  <c r="I78" i="11" s="1"/>
  <c r="I19" i="10"/>
  <c r="I19" i="11" s="1"/>
  <c r="H24" i="19"/>
  <c r="M60" i="18"/>
  <c r="M60" i="19" s="1"/>
  <c r="J105" i="18"/>
  <c r="J105" i="19" s="1"/>
  <c r="M39" i="10"/>
  <c r="M39" i="11" s="1"/>
  <c r="H78" i="10"/>
  <c r="I104" i="18"/>
  <c r="I104" i="19" s="1"/>
  <c r="K17" i="10"/>
  <c r="K17" i="11" s="1"/>
  <c r="H93" i="10"/>
  <c r="J45" i="18"/>
  <c r="J45" i="19" s="1"/>
  <c r="J57" i="10"/>
  <c r="K57" i="10" s="1"/>
  <c r="K57" i="11" s="1"/>
  <c r="J58" i="10"/>
  <c r="J58" i="11" s="1"/>
  <c r="J59" i="10"/>
  <c r="J59" i="11" s="1"/>
  <c r="M112" i="18"/>
  <c r="M112" i="19" s="1"/>
  <c r="K23" i="10"/>
  <c r="K23" i="11" s="1"/>
  <c r="J75" i="18"/>
  <c r="J75" i="19" s="1"/>
  <c r="K97" i="10"/>
  <c r="K97" i="11" s="1"/>
  <c r="J7" i="10"/>
  <c r="K13" i="10"/>
  <c r="K13" i="11" s="1"/>
  <c r="I21" i="11"/>
  <c r="J11" i="18"/>
  <c r="J11" i="19" s="1"/>
  <c r="K117" i="18"/>
  <c r="K117" i="19" s="1"/>
  <c r="J97" i="10"/>
  <c r="J97" i="11" s="1"/>
  <c r="J29" i="18"/>
  <c r="K29" i="18" s="1"/>
  <c r="K29" i="19" s="1"/>
  <c r="J62" i="10"/>
  <c r="K62" i="10" s="1"/>
  <c r="K62" i="11" s="1"/>
  <c r="I78" i="18"/>
  <c r="I78" i="19" s="1"/>
  <c r="J96" i="18"/>
  <c r="J96" i="19" s="1"/>
  <c r="J76" i="18"/>
  <c r="K76" i="18" s="1"/>
  <c r="K76" i="19" s="1"/>
  <c r="I73" i="18"/>
  <c r="I73" i="19" s="1"/>
  <c r="J47" i="18"/>
  <c r="J47" i="19" s="1"/>
  <c r="J72" i="18"/>
  <c r="J72" i="19" s="1"/>
  <c r="J96" i="10"/>
  <c r="J96" i="11" s="1"/>
  <c r="K118" i="18"/>
  <c r="K118" i="19" s="1"/>
  <c r="I42" i="18"/>
  <c r="I42" i="19" s="1"/>
  <c r="I97" i="19"/>
  <c r="J65" i="18"/>
  <c r="J65" i="19" s="1"/>
  <c r="K102" i="10"/>
  <c r="K102" i="11" s="1"/>
  <c r="I101" i="10"/>
  <c r="I79" i="11"/>
  <c r="J22" i="18"/>
  <c r="J22" i="19" s="1"/>
  <c r="K14" i="10"/>
  <c r="K14" i="11" s="1"/>
  <c r="J49" i="10"/>
  <c r="K49" i="10" s="1"/>
  <c r="K49" i="11" s="1"/>
  <c r="K96" i="10"/>
  <c r="K96" i="11" s="1"/>
  <c r="J54" i="18"/>
  <c r="J54" i="19" s="1"/>
  <c r="J54" i="10"/>
  <c r="J54" i="11" s="1"/>
  <c r="I27" i="10"/>
  <c r="I27" i="11" s="1"/>
  <c r="I98" i="10"/>
  <c r="K98" i="10" s="1"/>
  <c r="K98" i="11" s="1"/>
  <c r="I43" i="19"/>
  <c r="J72" i="10"/>
  <c r="K72" i="10" s="1"/>
  <c r="K72" i="11" s="1"/>
  <c r="I81" i="10"/>
  <c r="I81" i="11" s="1"/>
  <c r="J117" i="10"/>
  <c r="J117" i="11" s="1"/>
  <c r="J80" i="18"/>
  <c r="J80" i="19" s="1"/>
  <c r="K24" i="10"/>
  <c r="K24" i="11" s="1"/>
  <c r="H27" i="18"/>
  <c r="H27" i="19" s="1"/>
  <c r="J64" i="18"/>
  <c r="K64" i="18" s="1"/>
  <c r="K64" i="19" s="1"/>
  <c r="J33" i="10"/>
  <c r="J33" i="11" s="1"/>
  <c r="J55" i="18"/>
  <c r="J117" i="18"/>
  <c r="J117" i="19" s="1"/>
  <c r="J77" i="10"/>
  <c r="K77" i="10" s="1"/>
  <c r="K77" i="11" s="1"/>
  <c r="H114" i="11"/>
  <c r="H54" i="11"/>
  <c r="H104" i="10"/>
  <c r="H104" i="18"/>
  <c r="H80" i="19"/>
  <c r="J75" i="10"/>
  <c r="J75" i="11" s="1"/>
  <c r="H76" i="19"/>
  <c r="H54" i="19"/>
  <c r="J65" i="10"/>
  <c r="K65" i="10" s="1"/>
  <c r="K65" i="11" s="1"/>
  <c r="H98" i="10"/>
  <c r="I66" i="18"/>
  <c r="I66" i="19" s="1"/>
  <c r="J71" i="18"/>
  <c r="J71" i="19" s="1"/>
  <c r="I74" i="19"/>
  <c r="K20" i="10"/>
  <c r="K20" i="11" s="1"/>
  <c r="K59" i="10"/>
  <c r="K59" i="11" s="1"/>
  <c r="J46" i="10"/>
  <c r="K46" i="10" s="1"/>
  <c r="K46" i="11" s="1"/>
  <c r="J44" i="18"/>
  <c r="I112" i="10"/>
  <c r="I112" i="11" s="1"/>
  <c r="J45" i="10"/>
  <c r="K45" i="10" s="1"/>
  <c r="K45" i="11" s="1"/>
  <c r="J30" i="10"/>
  <c r="K30" i="10" s="1"/>
  <c r="K30" i="11" s="1"/>
  <c r="I116" i="19"/>
  <c r="I59" i="11"/>
  <c r="I59" i="19"/>
  <c r="J70" i="18"/>
  <c r="J70" i="19" s="1"/>
  <c r="J26" i="10"/>
  <c r="J26" i="11" s="1"/>
  <c r="J68" i="10"/>
  <c r="K68" i="10" s="1"/>
  <c r="K68" i="11" s="1"/>
  <c r="K118" i="10"/>
  <c r="K118" i="11" s="1"/>
  <c r="I104" i="10"/>
  <c r="J43" i="11"/>
  <c r="J106" i="10"/>
  <c r="K106" i="10" s="1"/>
  <c r="K106" i="11" s="1"/>
  <c r="I60" i="18"/>
  <c r="I60" i="19" s="1"/>
  <c r="J63" i="10"/>
  <c r="J63" i="11" s="1"/>
  <c r="J113" i="10"/>
  <c r="J113" i="11" s="1"/>
  <c r="I112" i="18"/>
  <c r="I112" i="19" s="1"/>
  <c r="J55" i="10"/>
  <c r="K55" i="10" s="1"/>
  <c r="K55" i="11" s="1"/>
  <c r="J56" i="18"/>
  <c r="K56" i="18" s="1"/>
  <c r="K56" i="19" s="1"/>
  <c r="I57" i="11"/>
  <c r="J118" i="10"/>
  <c r="J118" i="11" s="1"/>
  <c r="J52" i="18"/>
  <c r="J52" i="19" s="1"/>
  <c r="J82" i="10"/>
  <c r="J82" i="11" s="1"/>
  <c r="I118" i="11"/>
  <c r="J22" i="10"/>
  <c r="J22" i="11" s="1"/>
  <c r="J50" i="10"/>
  <c r="K50" i="10" s="1"/>
  <c r="K50" i="11" s="1"/>
  <c r="I18" i="19"/>
  <c r="J67" i="10"/>
  <c r="K67" i="10" s="1"/>
  <c r="K67" i="11" s="1"/>
  <c r="H106" i="19"/>
  <c r="J52" i="10"/>
  <c r="J52" i="11" s="1"/>
  <c r="H72" i="11"/>
  <c r="J118" i="18"/>
  <c r="J118" i="19" s="1"/>
  <c r="J13" i="10"/>
  <c r="J13" i="11" s="1"/>
  <c r="J20" i="10"/>
  <c r="J20" i="11" s="1"/>
  <c r="J25" i="10"/>
  <c r="J25" i="11" s="1"/>
  <c r="H98" i="18"/>
  <c r="H98" i="19" s="1"/>
  <c r="H27" i="10"/>
  <c r="H45" i="19"/>
  <c r="H55" i="11"/>
  <c r="H96" i="19"/>
  <c r="J102" i="18"/>
  <c r="J102" i="19" s="1"/>
  <c r="H101" i="18"/>
  <c r="H101" i="19" s="1"/>
  <c r="H77" i="19"/>
  <c r="J77" i="18"/>
  <c r="J21" i="18"/>
  <c r="J21" i="19" s="1"/>
  <c r="H21" i="19"/>
  <c r="H47" i="19"/>
  <c r="H113" i="19"/>
  <c r="J113" i="18"/>
  <c r="K113" i="18" s="1"/>
  <c r="K113" i="19" s="1"/>
  <c r="J48" i="18"/>
  <c r="H48" i="19"/>
  <c r="H53" i="11"/>
  <c r="J53" i="10"/>
  <c r="J53" i="11" s="1"/>
  <c r="H76" i="11"/>
  <c r="J76" i="10"/>
  <c r="K76" i="10" s="1"/>
  <c r="K76" i="11" s="1"/>
  <c r="H17" i="11"/>
  <c r="J17" i="10"/>
  <c r="J17" i="11" s="1"/>
  <c r="H73" i="10"/>
  <c r="J61" i="18"/>
  <c r="H61" i="19"/>
  <c r="J16" i="10"/>
  <c r="J16" i="11" s="1"/>
  <c r="H16" i="11"/>
  <c r="H60" i="18"/>
  <c r="H60" i="19" s="1"/>
  <c r="J58" i="18"/>
  <c r="H67" i="19"/>
  <c r="J67" i="18"/>
  <c r="K67" i="18" s="1"/>
  <c r="K67" i="19" s="1"/>
  <c r="J115" i="10"/>
  <c r="J115" i="11" s="1"/>
  <c r="H115" i="11"/>
  <c r="J14" i="10"/>
  <c r="J14" i="11" s="1"/>
  <c r="H12" i="10"/>
  <c r="H14" i="11"/>
  <c r="J116" i="10"/>
  <c r="J116" i="11" s="1"/>
  <c r="H46" i="19"/>
  <c r="J46" i="18"/>
  <c r="K46" i="18" s="1"/>
  <c r="K46" i="19" s="1"/>
  <c r="H68" i="19"/>
  <c r="J68" i="18"/>
  <c r="K68" i="18" s="1"/>
  <c r="K68" i="19" s="1"/>
  <c r="H24" i="11"/>
  <c r="H102" i="19"/>
  <c r="H58" i="11"/>
  <c r="J18" i="10"/>
  <c r="J18" i="11" s="1"/>
  <c r="H18" i="11"/>
  <c r="H92" i="19"/>
  <c r="H93" i="18"/>
  <c r="H93" i="19" s="1"/>
  <c r="H85" i="11"/>
  <c r="J85" i="10"/>
  <c r="H19" i="10"/>
  <c r="J85" i="18"/>
  <c r="K85" i="18" s="1"/>
  <c r="K85" i="19" s="1"/>
  <c r="H85" i="19"/>
  <c r="H63" i="19"/>
  <c r="J63" i="18"/>
  <c r="J80" i="10"/>
  <c r="K80" i="10" s="1"/>
  <c r="K80" i="11" s="1"/>
  <c r="J17" i="18"/>
  <c r="J17" i="19" s="1"/>
  <c r="J92" i="18"/>
  <c r="K92" i="18" s="1"/>
  <c r="K92" i="19" s="1"/>
  <c r="J114" i="18"/>
  <c r="J114" i="19" s="1"/>
  <c r="H19" i="18"/>
  <c r="H19" i="19" s="1"/>
  <c r="H43" i="11"/>
  <c r="H81" i="10"/>
  <c r="J53" i="18"/>
  <c r="J91" i="18"/>
  <c r="H91" i="19"/>
  <c r="K96" i="18"/>
  <c r="K96" i="19" s="1"/>
  <c r="I96" i="19"/>
  <c r="I98" i="18"/>
  <c r="I28" i="11"/>
  <c r="M60" i="10"/>
  <c r="M60" i="11" s="1"/>
  <c r="H41" i="19"/>
  <c r="J41" i="18"/>
  <c r="I25" i="11"/>
  <c r="K25" i="10"/>
  <c r="K25" i="11" s="1"/>
  <c r="I93" i="10"/>
  <c r="I93" i="11" s="1"/>
  <c r="I93" i="18"/>
  <c r="I93" i="19" s="1"/>
  <c r="I92" i="19"/>
  <c r="I15" i="11"/>
  <c r="J15" i="10"/>
  <c r="J15" i="11" s="1"/>
  <c r="J51" i="10"/>
  <c r="H51" i="11"/>
  <c r="H29" i="19"/>
  <c r="J31" i="18"/>
  <c r="J31" i="19" s="1"/>
  <c r="J102" i="10"/>
  <c r="J102" i="11" s="1"/>
  <c r="H101" i="10"/>
  <c r="J83" i="10"/>
  <c r="H83" i="11"/>
  <c r="J115" i="18"/>
  <c r="J115" i="19" s="1"/>
  <c r="I40" i="11"/>
  <c r="I39" i="10"/>
  <c r="H105" i="11"/>
  <c r="J105" i="10"/>
  <c r="H84" i="11"/>
  <c r="H44" i="19"/>
  <c r="I61" i="19"/>
  <c r="K75" i="10"/>
  <c r="K75" i="11" s="1"/>
  <c r="I73" i="10"/>
  <c r="I73" i="11" s="1"/>
  <c r="J103" i="10"/>
  <c r="H63" i="11"/>
  <c r="J49" i="18"/>
  <c r="J49" i="19" s="1"/>
  <c r="J31" i="10"/>
  <c r="J31" i="11" s="1"/>
  <c r="I66" i="10"/>
  <c r="I66" i="11" s="1"/>
  <c r="I42" i="10"/>
  <c r="I42" i="11" s="1"/>
  <c r="I101" i="18"/>
  <c r="J103" i="18"/>
  <c r="J103" i="19" s="1"/>
  <c r="J25" i="18"/>
  <c r="H70" i="11"/>
  <c r="J70" i="10"/>
  <c r="I60" i="10"/>
  <c r="I60" i="11" s="1"/>
  <c r="H106" i="11"/>
  <c r="J28" i="10"/>
  <c r="J28" i="11" s="1"/>
  <c r="H81" i="18"/>
  <c r="H81" i="19" s="1"/>
  <c r="J91" i="10"/>
  <c r="H91" i="11"/>
  <c r="J41" i="10"/>
  <c r="J41" i="11" s="1"/>
  <c r="J30" i="18"/>
  <c r="J30" i="19" s="1"/>
  <c r="I30" i="19"/>
  <c r="I27" i="18"/>
  <c r="I27" i="19" s="1"/>
  <c r="M81" i="10"/>
  <c r="M81" i="11" s="1"/>
  <c r="M101" i="18"/>
  <c r="M101" i="19" s="1"/>
  <c r="M102" i="19"/>
  <c r="I45" i="19"/>
  <c r="J69" i="10"/>
  <c r="H69" i="11"/>
  <c r="I40" i="19"/>
  <c r="I39" i="18"/>
  <c r="H23" i="11"/>
  <c r="J23" i="10"/>
  <c r="J23" i="11" s="1"/>
  <c r="J44" i="10"/>
  <c r="H74" i="11"/>
  <c r="J74" i="10"/>
  <c r="K23" i="18"/>
  <c r="K23" i="19" s="1"/>
  <c r="I23" i="19"/>
  <c r="I12" i="10"/>
  <c r="J48" i="10"/>
  <c r="J48" i="11" s="1"/>
  <c r="J26" i="18"/>
  <c r="J26" i="19" s="1"/>
  <c r="I19" i="18"/>
  <c r="I19" i="19" s="1"/>
  <c r="I12" i="18"/>
  <c r="I12" i="19" s="1"/>
  <c r="J62" i="18"/>
  <c r="M112" i="10"/>
  <c r="M112" i="11" s="1"/>
  <c r="J84" i="18"/>
  <c r="I81" i="18"/>
  <c r="I81" i="19" s="1"/>
  <c r="M73" i="10"/>
  <c r="M73" i="11" s="1"/>
  <c r="J71" i="10"/>
  <c r="J71" i="11" s="1"/>
  <c r="J33" i="18"/>
  <c r="M66" i="10"/>
  <c r="M66" i="11" s="1"/>
  <c r="J82" i="18"/>
  <c r="J50" i="18"/>
  <c r="K50" i="18" s="1"/>
  <c r="K50" i="19" s="1"/>
  <c r="M104" i="18"/>
  <c r="M104" i="19" s="1"/>
  <c r="I8" i="11"/>
  <c r="M66" i="18"/>
  <c r="M66" i="19" s="1"/>
  <c r="J83" i="18"/>
  <c r="J23" i="18"/>
  <c r="J23" i="19" s="1"/>
  <c r="H112" i="10"/>
  <c r="J56" i="10"/>
  <c r="J32" i="10"/>
  <c r="M93" i="18"/>
  <c r="M93" i="19" s="1"/>
  <c r="J59" i="18"/>
  <c r="J59" i="19" s="1"/>
  <c r="H12" i="18"/>
  <c r="J20" i="18"/>
  <c r="J20" i="19" s="1"/>
  <c r="H23" i="19"/>
  <c r="K13" i="18"/>
  <c r="K13" i="19" s="1"/>
  <c r="H22" i="19"/>
  <c r="I17" i="19"/>
  <c r="J15" i="18"/>
  <c r="K15" i="18" s="1"/>
  <c r="K15" i="19" s="1"/>
  <c r="K20" i="18"/>
  <c r="K20" i="19" s="1"/>
  <c r="I13" i="19"/>
  <c r="J14" i="18"/>
  <c r="J14" i="19" s="1"/>
  <c r="J13" i="18"/>
  <c r="J13" i="19" s="1"/>
  <c r="K17" i="18"/>
  <c r="K17" i="19" s="1"/>
  <c r="I14" i="19"/>
  <c r="J7" i="19"/>
  <c r="J34" i="10"/>
  <c r="H34" i="11"/>
  <c r="H39" i="18"/>
  <c r="H40" i="19"/>
  <c r="J40" i="18"/>
  <c r="H69" i="19"/>
  <c r="J69" i="18"/>
  <c r="H66" i="18"/>
  <c r="J35" i="10"/>
  <c r="J57" i="18"/>
  <c r="H57" i="19"/>
  <c r="H49" i="11"/>
  <c r="H29" i="11"/>
  <c r="J29" i="10"/>
  <c r="H71" i="11"/>
  <c r="J43" i="18"/>
  <c r="H42" i="18"/>
  <c r="J18" i="18"/>
  <c r="J18" i="19" s="1"/>
  <c r="H18" i="19"/>
  <c r="H32" i="19"/>
  <c r="J32" i="18"/>
  <c r="H35" i="19"/>
  <c r="J35" i="18"/>
  <c r="H79" i="11"/>
  <c r="J79" i="10"/>
  <c r="J116" i="18"/>
  <c r="J116" i="19" s="1"/>
  <c r="H112" i="18"/>
  <c r="H116" i="19"/>
  <c r="H42" i="10"/>
  <c r="J47" i="10"/>
  <c r="H28" i="19"/>
  <c r="J28" i="18"/>
  <c r="H16" i="19"/>
  <c r="J16" i="18"/>
  <c r="J16" i="19" s="1"/>
  <c r="H66" i="10"/>
  <c r="H79" i="19"/>
  <c r="H78" i="18"/>
  <c r="J97" i="18"/>
  <c r="J97" i="19" s="1"/>
  <c r="H97" i="19"/>
  <c r="H21" i="11"/>
  <c r="J21" i="10"/>
  <c r="H34" i="19"/>
  <c r="J34" i="18"/>
  <c r="H60" i="10"/>
  <c r="J61" i="10"/>
  <c r="H39" i="10"/>
  <c r="H73" i="18"/>
  <c r="J74" i="18"/>
  <c r="H64" i="11"/>
  <c r="J64" i="10"/>
  <c r="M27" i="10"/>
  <c r="M27" i="11" s="1"/>
  <c r="M12" i="10"/>
  <c r="M12" i="11" s="1"/>
  <c r="M62" i="19"/>
  <c r="M71" i="19"/>
  <c r="M82" i="11"/>
  <c r="M79" i="11"/>
  <c r="M67" i="11"/>
  <c r="M19" i="10"/>
  <c r="M19" i="11" s="1"/>
  <c r="M91" i="19"/>
  <c r="M78" i="18"/>
  <c r="M78" i="19" s="1"/>
  <c r="M81" i="18"/>
  <c r="M81" i="19" s="1"/>
  <c r="M98" i="10"/>
  <c r="M98" i="11" s="1"/>
  <c r="M27" i="18"/>
  <c r="M27" i="19" s="1"/>
  <c r="M105" i="19"/>
  <c r="M12" i="18"/>
  <c r="M12" i="19" s="1"/>
  <c r="M98" i="18"/>
  <c r="M98" i="19" s="1"/>
  <c r="M101" i="10"/>
  <c r="M73" i="18"/>
  <c r="M73" i="19" s="1"/>
  <c r="M39" i="18"/>
  <c r="M28" i="11"/>
  <c r="M42" i="10"/>
  <c r="M42" i="11" s="1"/>
  <c r="M84" i="19"/>
  <c r="M113" i="11"/>
  <c r="M16" i="19"/>
  <c r="M104" i="10"/>
  <c r="M42" i="18"/>
  <c r="M42" i="19" s="1"/>
  <c r="M19" i="18"/>
  <c r="M19" i="19" s="1"/>
  <c r="M93" i="10"/>
  <c r="M93" i="11" s="1"/>
  <c r="K16" i="10" l="1"/>
  <c r="K16" i="11" s="1"/>
  <c r="K16" i="18"/>
  <c r="K16" i="19" s="1"/>
  <c r="K82" i="10"/>
  <c r="K82" i="11" s="1"/>
  <c r="K105" i="18"/>
  <c r="K105" i="19" s="1"/>
  <c r="J7" i="11"/>
  <c r="I101" i="11"/>
  <c r="I104" i="11"/>
  <c r="M104" i="11"/>
  <c r="K22" i="10"/>
  <c r="K22" i="11" s="1"/>
  <c r="M119" i="18"/>
  <c r="M119" i="19" s="1"/>
  <c r="K116" i="10"/>
  <c r="K116" i="11" s="1"/>
  <c r="K22" i="18"/>
  <c r="K22" i="19" s="1"/>
  <c r="K116" i="18"/>
  <c r="K116" i="19" s="1"/>
  <c r="H27" i="11"/>
  <c r="H98" i="11"/>
  <c r="H104" i="11"/>
  <c r="H12" i="11"/>
  <c r="H73" i="11"/>
  <c r="H93" i="11"/>
  <c r="K79" i="18"/>
  <c r="K79" i="19" s="1"/>
  <c r="K11" i="10"/>
  <c r="K11" i="11" s="1"/>
  <c r="K114" i="10"/>
  <c r="K114" i="11" s="1"/>
  <c r="K51" i="18"/>
  <c r="K51" i="19" s="1"/>
  <c r="J84" i="11"/>
  <c r="J106" i="19"/>
  <c r="K92" i="10"/>
  <c r="K92" i="11" s="1"/>
  <c r="J49" i="11"/>
  <c r="J76" i="19"/>
  <c r="J78" i="10"/>
  <c r="J78" i="11" s="1"/>
  <c r="J72" i="11"/>
  <c r="K11" i="18"/>
  <c r="K11" i="19" s="1"/>
  <c r="K65" i="18"/>
  <c r="K65" i="19" s="1"/>
  <c r="J62" i="11"/>
  <c r="K58" i="10"/>
  <c r="K58" i="11" s="1"/>
  <c r="J57" i="11"/>
  <c r="J104" i="18"/>
  <c r="K104" i="18" s="1"/>
  <c r="K104" i="19" s="1"/>
  <c r="J68" i="11"/>
  <c r="H78" i="11"/>
  <c r="K72" i="18"/>
  <c r="K72" i="19" s="1"/>
  <c r="K45" i="18"/>
  <c r="K45" i="19" s="1"/>
  <c r="H104" i="19"/>
  <c r="M107" i="18"/>
  <c r="M107" i="19" s="1"/>
  <c r="J56" i="19"/>
  <c r="K54" i="18"/>
  <c r="K54" i="19" s="1"/>
  <c r="K54" i="10"/>
  <c r="K54" i="11" s="1"/>
  <c r="J67" i="11"/>
  <c r="J29" i="19"/>
  <c r="J98" i="10"/>
  <c r="J98" i="11" s="1"/>
  <c r="K80" i="18"/>
  <c r="K80" i="19" s="1"/>
  <c r="K33" i="10"/>
  <c r="K33" i="11" s="1"/>
  <c r="J85" i="19"/>
  <c r="J77" i="11"/>
  <c r="J46" i="19"/>
  <c r="J65" i="11"/>
  <c r="K47" i="18"/>
  <c r="K47" i="19" s="1"/>
  <c r="J113" i="19"/>
  <c r="K71" i="18"/>
  <c r="K71" i="19" s="1"/>
  <c r="J50" i="19"/>
  <c r="J93" i="10"/>
  <c r="K93" i="10" s="1"/>
  <c r="K93" i="11" s="1"/>
  <c r="J67" i="19"/>
  <c r="J101" i="10"/>
  <c r="J101" i="11" s="1"/>
  <c r="I98" i="11"/>
  <c r="J50" i="11"/>
  <c r="J106" i="11"/>
  <c r="J64" i="19"/>
  <c r="J55" i="19"/>
  <c r="K55" i="18"/>
  <c r="K55" i="19" s="1"/>
  <c r="J27" i="10"/>
  <c r="J27" i="11" s="1"/>
  <c r="J45" i="11"/>
  <c r="K26" i="10"/>
  <c r="K26" i="11" s="1"/>
  <c r="J46" i="11"/>
  <c r="J80" i="11"/>
  <c r="J60" i="18"/>
  <c r="K60" i="18" s="1"/>
  <c r="K60" i="19" s="1"/>
  <c r="J30" i="11"/>
  <c r="K26" i="18"/>
  <c r="K26" i="19" s="1"/>
  <c r="K63" i="10"/>
  <c r="K63" i="11" s="1"/>
  <c r="I10" i="18"/>
  <c r="I119" i="10"/>
  <c r="I119" i="11" s="1"/>
  <c r="I107" i="10"/>
  <c r="I107" i="11" s="1"/>
  <c r="I119" i="18"/>
  <c r="I119" i="19" s="1"/>
  <c r="K44" i="18"/>
  <c r="K44" i="19" s="1"/>
  <c r="J44" i="19"/>
  <c r="J12" i="18"/>
  <c r="K12" i="18" s="1"/>
  <c r="K12" i="19" s="1"/>
  <c r="K43" i="10"/>
  <c r="K43" i="11" s="1"/>
  <c r="J104" i="10"/>
  <c r="J104" i="11" s="1"/>
  <c r="K52" i="10"/>
  <c r="K52" i="11" s="1"/>
  <c r="K115" i="10"/>
  <c r="K115" i="11" s="1"/>
  <c r="K52" i="18"/>
  <c r="K52" i="19" s="1"/>
  <c r="K18" i="10"/>
  <c r="K18" i="11" s="1"/>
  <c r="K70" i="18"/>
  <c r="K70" i="19" s="1"/>
  <c r="J55" i="11"/>
  <c r="K18" i="18"/>
  <c r="K18" i="19" s="1"/>
  <c r="K113" i="10"/>
  <c r="K113" i="11" s="1"/>
  <c r="K31" i="10"/>
  <c r="K31" i="11" s="1"/>
  <c r="J93" i="18"/>
  <c r="K93" i="18" s="1"/>
  <c r="K93" i="19" s="1"/>
  <c r="K114" i="18"/>
  <c r="K114" i="19" s="1"/>
  <c r="K53" i="10"/>
  <c r="K53" i="11" s="1"/>
  <c r="K49" i="18"/>
  <c r="K49" i="19" s="1"/>
  <c r="J101" i="18"/>
  <c r="K101" i="18" s="1"/>
  <c r="K101" i="19" s="1"/>
  <c r="K31" i="18"/>
  <c r="K31" i="19" s="1"/>
  <c r="K28" i="10"/>
  <c r="K28" i="11" s="1"/>
  <c r="H107" i="18"/>
  <c r="H107" i="19" s="1"/>
  <c r="H12" i="19"/>
  <c r="J92" i="19"/>
  <c r="J19" i="18"/>
  <c r="J19" i="19" s="1"/>
  <c r="K63" i="18"/>
  <c r="K63" i="19" s="1"/>
  <c r="J63" i="19"/>
  <c r="J19" i="10"/>
  <c r="H19" i="11"/>
  <c r="J85" i="11"/>
  <c r="K85" i="10"/>
  <c r="K85" i="11" s="1"/>
  <c r="K21" i="18"/>
  <c r="K21" i="19" s="1"/>
  <c r="K15" i="10"/>
  <c r="K15" i="11" s="1"/>
  <c r="J68" i="19"/>
  <c r="J77" i="19"/>
  <c r="K77" i="18"/>
  <c r="K77" i="19" s="1"/>
  <c r="J76" i="11"/>
  <c r="K48" i="10"/>
  <c r="K48" i="11" s="1"/>
  <c r="K71" i="10"/>
  <c r="K71" i="11" s="1"/>
  <c r="J48" i="19"/>
  <c r="K48" i="18"/>
  <c r="K48" i="19" s="1"/>
  <c r="H10" i="10"/>
  <c r="K41" i="10"/>
  <c r="K41" i="11" s="1"/>
  <c r="K58" i="18"/>
  <c r="K58" i="19" s="1"/>
  <c r="J58" i="19"/>
  <c r="J61" i="19"/>
  <c r="K61" i="18"/>
  <c r="K61" i="19" s="1"/>
  <c r="I86" i="10"/>
  <c r="I86" i="11" s="1"/>
  <c r="I39" i="11"/>
  <c r="J41" i="19"/>
  <c r="K41" i="18"/>
  <c r="K41" i="19" s="1"/>
  <c r="J70" i="11"/>
  <c r="K70" i="10"/>
  <c r="K70" i="11" s="1"/>
  <c r="I101" i="19"/>
  <c r="I107" i="18"/>
  <c r="I107" i="19" s="1"/>
  <c r="J105" i="11"/>
  <c r="K105" i="10"/>
  <c r="K105" i="11" s="1"/>
  <c r="H107" i="10"/>
  <c r="I39" i="19"/>
  <c r="I86" i="18"/>
  <c r="I86" i="19" s="1"/>
  <c r="K103" i="18"/>
  <c r="K103" i="19" s="1"/>
  <c r="J53" i="19"/>
  <c r="K53" i="18"/>
  <c r="K53" i="19" s="1"/>
  <c r="J81" i="18"/>
  <c r="K81" i="18" s="1"/>
  <c r="K81" i="19" s="1"/>
  <c r="K82" i="18"/>
  <c r="K82" i="19" s="1"/>
  <c r="J82" i="19"/>
  <c r="J27" i="18"/>
  <c r="K56" i="10"/>
  <c r="K56" i="11" s="1"/>
  <c r="J56" i="11"/>
  <c r="J112" i="10"/>
  <c r="H119" i="10"/>
  <c r="H112" i="11"/>
  <c r="K32" i="10"/>
  <c r="K32" i="11" s="1"/>
  <c r="J32" i="11"/>
  <c r="J44" i="11"/>
  <c r="K44" i="10"/>
  <c r="K44" i="11" s="1"/>
  <c r="K91" i="10"/>
  <c r="K91" i="11" s="1"/>
  <c r="J91" i="11"/>
  <c r="K83" i="10"/>
  <c r="K83" i="11" s="1"/>
  <c r="J83" i="11"/>
  <c r="K91" i="18"/>
  <c r="K91" i="19" s="1"/>
  <c r="J91" i="19"/>
  <c r="I10" i="10"/>
  <c r="I12" i="11"/>
  <c r="J12" i="10"/>
  <c r="J12" i="11" s="1"/>
  <c r="K84" i="18"/>
  <c r="K84" i="19" s="1"/>
  <c r="J84" i="19"/>
  <c r="I98" i="19"/>
  <c r="J98" i="18"/>
  <c r="J98" i="19" s="1"/>
  <c r="K98" i="18"/>
  <c r="K98" i="19" s="1"/>
  <c r="M119" i="10"/>
  <c r="M119" i="11" s="1"/>
  <c r="H101" i="11"/>
  <c r="K30" i="18"/>
  <c r="K30" i="19" s="1"/>
  <c r="J83" i="19"/>
  <c r="K83" i="18"/>
  <c r="K83" i="19" s="1"/>
  <c r="K33" i="18"/>
  <c r="K33" i="19" s="1"/>
  <c r="J33" i="19"/>
  <c r="K69" i="10"/>
  <c r="K69" i="11" s="1"/>
  <c r="J69" i="11"/>
  <c r="K25" i="18"/>
  <c r="K25" i="19" s="1"/>
  <c r="J25" i="19"/>
  <c r="K115" i="18"/>
  <c r="K115" i="19" s="1"/>
  <c r="J73" i="10"/>
  <c r="K103" i="10"/>
  <c r="K103" i="11" s="1"/>
  <c r="J103" i="11"/>
  <c r="K62" i="18"/>
  <c r="K62" i="19" s="1"/>
  <c r="J62" i="19"/>
  <c r="J51" i="11"/>
  <c r="K51" i="10"/>
  <c r="K51" i="11" s="1"/>
  <c r="K74" i="10"/>
  <c r="K74" i="11" s="1"/>
  <c r="J74" i="11"/>
  <c r="J81" i="10"/>
  <c r="H81" i="11"/>
  <c r="H10" i="18"/>
  <c r="H10" i="19" s="1"/>
  <c r="J15" i="19"/>
  <c r="J47" i="11"/>
  <c r="K47" i="10"/>
  <c r="K47" i="11" s="1"/>
  <c r="K61" i="10"/>
  <c r="K61" i="11" s="1"/>
  <c r="J61" i="11"/>
  <c r="J66" i="10"/>
  <c r="H66" i="11"/>
  <c r="J35" i="19"/>
  <c r="K35" i="18"/>
  <c r="K35" i="19" s="1"/>
  <c r="K32" i="18"/>
  <c r="K32" i="19" s="1"/>
  <c r="J32" i="19"/>
  <c r="J29" i="11"/>
  <c r="K29" i="10"/>
  <c r="K29" i="11" s="1"/>
  <c r="H60" i="11"/>
  <c r="J60" i="10"/>
  <c r="K28" i="18"/>
  <c r="K28" i="19" s="1"/>
  <c r="J28" i="19"/>
  <c r="K79" i="10"/>
  <c r="K79" i="11" s="1"/>
  <c r="J79" i="11"/>
  <c r="J57" i="19"/>
  <c r="K57" i="18"/>
  <c r="K57" i="19" s="1"/>
  <c r="J35" i="11"/>
  <c r="K35" i="10"/>
  <c r="K35" i="11" s="1"/>
  <c r="H86" i="18"/>
  <c r="H39" i="19"/>
  <c r="J39" i="18"/>
  <c r="H42" i="19"/>
  <c r="J42" i="18"/>
  <c r="J78" i="18"/>
  <c r="H78" i="19"/>
  <c r="H42" i="11"/>
  <c r="J42" i="10"/>
  <c r="K43" i="18"/>
  <c r="K43" i="19" s="1"/>
  <c r="J43" i="19"/>
  <c r="J66" i="18"/>
  <c r="H66" i="19"/>
  <c r="J73" i="18"/>
  <c r="H73" i="19"/>
  <c r="K21" i="10"/>
  <c r="K21" i="11" s="1"/>
  <c r="J21" i="11"/>
  <c r="J64" i="11"/>
  <c r="K64" i="10"/>
  <c r="K64" i="11" s="1"/>
  <c r="H39" i="11"/>
  <c r="H86" i="10"/>
  <c r="J39" i="10"/>
  <c r="J69" i="19"/>
  <c r="K69" i="18"/>
  <c r="K69" i="19" s="1"/>
  <c r="K74" i="18"/>
  <c r="K74" i="19" s="1"/>
  <c r="J74" i="19"/>
  <c r="K34" i="10"/>
  <c r="K34" i="11" s="1"/>
  <c r="J34" i="11"/>
  <c r="K34" i="18"/>
  <c r="K34" i="19" s="1"/>
  <c r="J34" i="19"/>
  <c r="J40" i="11"/>
  <c r="K40" i="10"/>
  <c r="K40" i="11" s="1"/>
  <c r="J112" i="18"/>
  <c r="H119" i="18"/>
  <c r="H112" i="19"/>
  <c r="J40" i="19"/>
  <c r="K40" i="18"/>
  <c r="K40" i="19" s="1"/>
  <c r="M10" i="10"/>
  <c r="M101" i="11"/>
  <c r="M107" i="10"/>
  <c r="M107" i="11" s="1"/>
  <c r="M10" i="18"/>
  <c r="M86" i="10"/>
  <c r="M86" i="11" s="1"/>
  <c r="M39" i="19"/>
  <c r="M86" i="18"/>
  <c r="M86" i="19" s="1"/>
  <c r="J86" i="10" l="1"/>
  <c r="M10" i="11"/>
  <c r="K19" i="18"/>
  <c r="K19" i="19" s="1"/>
  <c r="H107" i="11"/>
  <c r="I10" i="19"/>
  <c r="I36" i="18"/>
  <c r="I88" i="18" s="1"/>
  <c r="K78" i="10"/>
  <c r="K78" i="11" s="1"/>
  <c r="J104" i="19"/>
  <c r="J93" i="11"/>
  <c r="K101" i="10"/>
  <c r="K101" i="11" s="1"/>
  <c r="J60" i="19"/>
  <c r="K27" i="10"/>
  <c r="K27" i="11" s="1"/>
  <c r="J10" i="10"/>
  <c r="J10" i="11" s="1"/>
  <c r="H10" i="11"/>
  <c r="K104" i="10"/>
  <c r="K104" i="11" s="1"/>
  <c r="J10" i="18"/>
  <c r="J10" i="19" s="1"/>
  <c r="J81" i="19"/>
  <c r="H36" i="18"/>
  <c r="H36" i="19" s="1"/>
  <c r="J12" i="19"/>
  <c r="J101" i="19"/>
  <c r="J107" i="10"/>
  <c r="K107" i="10" s="1"/>
  <c r="K107" i="11" s="1"/>
  <c r="J93" i="19"/>
  <c r="H36" i="10"/>
  <c r="J19" i="11"/>
  <c r="K19" i="10"/>
  <c r="K19" i="11" s="1"/>
  <c r="K73" i="10"/>
  <c r="K73" i="11" s="1"/>
  <c r="J73" i="11"/>
  <c r="J119" i="10"/>
  <c r="H119" i="11"/>
  <c r="J112" i="11"/>
  <c r="K112" i="10"/>
  <c r="K112" i="11" s="1"/>
  <c r="I10" i="11"/>
  <c r="I36" i="10"/>
  <c r="M36" i="10"/>
  <c r="M36" i="11" s="1"/>
  <c r="J107" i="18"/>
  <c r="J107" i="19" s="1"/>
  <c r="K12" i="10"/>
  <c r="K12" i="11" s="1"/>
  <c r="K81" i="10"/>
  <c r="K81" i="11" s="1"/>
  <c r="J81" i="11"/>
  <c r="J27" i="19"/>
  <c r="K27" i="18"/>
  <c r="K27" i="19" s="1"/>
  <c r="J42" i="19"/>
  <c r="K42" i="18"/>
  <c r="K42" i="19" s="1"/>
  <c r="J119" i="18"/>
  <c r="H119" i="19"/>
  <c r="H86" i="11"/>
  <c r="K73" i="18"/>
  <c r="K73" i="19" s="1"/>
  <c r="J73" i="19"/>
  <c r="K60" i="10"/>
  <c r="K60" i="11" s="1"/>
  <c r="J60" i="11"/>
  <c r="K66" i="10"/>
  <c r="K66" i="11" s="1"/>
  <c r="J66" i="11"/>
  <c r="J39" i="19"/>
  <c r="K39" i="18"/>
  <c r="K39" i="19" s="1"/>
  <c r="K112" i="18"/>
  <c r="K112" i="19" s="1"/>
  <c r="J112" i="19"/>
  <c r="J66" i="19"/>
  <c r="K66" i="18"/>
  <c r="K66" i="19" s="1"/>
  <c r="H86" i="19"/>
  <c r="J86" i="18"/>
  <c r="J42" i="11"/>
  <c r="K42" i="10"/>
  <c r="K42" i="11" s="1"/>
  <c r="K39" i="10"/>
  <c r="K39" i="11" s="1"/>
  <c r="J39" i="11"/>
  <c r="K78" i="18"/>
  <c r="K78" i="19" s="1"/>
  <c r="J78" i="19"/>
  <c r="M36" i="18"/>
  <c r="M10" i="19"/>
  <c r="H36" i="11" l="1"/>
  <c r="I36" i="19"/>
  <c r="H88" i="18"/>
  <c r="H109" i="18" s="1"/>
  <c r="H88" i="10"/>
  <c r="K107" i="18"/>
  <c r="K107" i="19" s="1"/>
  <c r="K10" i="10"/>
  <c r="K10" i="11" s="1"/>
  <c r="J36" i="18"/>
  <c r="K36" i="18" s="1"/>
  <c r="K36" i="19" s="1"/>
  <c r="K10" i="18"/>
  <c r="K10" i="19" s="1"/>
  <c r="J107" i="11"/>
  <c r="I88" i="10"/>
  <c r="I36" i="11"/>
  <c r="K119" i="10"/>
  <c r="K119" i="11" s="1"/>
  <c r="J119" i="11"/>
  <c r="M88" i="10"/>
  <c r="M109" i="10" s="1"/>
  <c r="J36" i="10"/>
  <c r="J36" i="11" s="1"/>
  <c r="I88" i="19"/>
  <c r="I109" i="18"/>
  <c r="J119" i="19"/>
  <c r="K119" i="18"/>
  <c r="K119" i="19" s="1"/>
  <c r="J86" i="11"/>
  <c r="K86" i="10"/>
  <c r="K86" i="11" s="1"/>
  <c r="K86" i="18"/>
  <c r="K86" i="19" s="1"/>
  <c r="J86" i="19"/>
  <c r="M36" i="19"/>
  <c r="M88" i="18"/>
  <c r="H88" i="11" l="1"/>
  <c r="H88" i="19"/>
  <c r="J88" i="18"/>
  <c r="K88" i="18" s="1"/>
  <c r="K88" i="19" s="1"/>
  <c r="H109" i="10"/>
  <c r="J36" i="19"/>
  <c r="J88" i="10"/>
  <c r="J88" i="11" s="1"/>
  <c r="M88" i="11"/>
  <c r="K36" i="10"/>
  <c r="K36" i="11" s="1"/>
  <c r="I109" i="10"/>
  <c r="I88" i="11"/>
  <c r="I121" i="18"/>
  <c r="I121" i="19" s="1"/>
  <c r="I109" i="19"/>
  <c r="H121" i="18"/>
  <c r="J109" i="18"/>
  <c r="H109" i="19"/>
  <c r="M88" i="19"/>
  <c r="M109" i="18"/>
  <c r="M121" i="10"/>
  <c r="M121" i="11" s="1"/>
  <c r="M109" i="11"/>
  <c r="H121" i="10" l="1"/>
  <c r="J88" i="19"/>
  <c r="K88" i="10"/>
  <c r="K88" i="11" s="1"/>
  <c r="H109" i="11"/>
  <c r="I109" i="11"/>
  <c r="I121" i="10"/>
  <c r="I121" i="11" s="1"/>
  <c r="J109" i="10"/>
  <c r="K109" i="10" s="1"/>
  <c r="K109" i="11" s="1"/>
  <c r="J109" i="19"/>
  <c r="K109" i="18"/>
  <c r="K109" i="19" s="1"/>
  <c r="J121" i="18"/>
  <c r="H121" i="19"/>
  <c r="M109" i="19"/>
  <c r="M121" i="18"/>
  <c r="M121" i="19" s="1"/>
  <c r="H121" i="11" l="1"/>
  <c r="J109" i="11"/>
  <c r="J121" i="10"/>
  <c r="J121" i="11" s="1"/>
  <c r="K121" i="18"/>
  <c r="K121" i="19" s="1"/>
  <c r="J121" i="19"/>
  <c r="K121" i="10" l="1"/>
  <c r="K121" i="11" s="1"/>
</calcChain>
</file>

<file path=xl/sharedStrings.xml><?xml version="1.0" encoding="utf-8"?>
<sst xmlns="http://schemas.openxmlformats.org/spreadsheetml/2006/main" count="14869" uniqueCount="5987">
  <si>
    <t>800.100.10</t>
  </si>
  <si>
    <t>Plusvalenze</t>
  </si>
  <si>
    <t>E.1.a</t>
  </si>
  <si>
    <t>810.000.00</t>
  </si>
  <si>
    <t>810</t>
  </si>
  <si>
    <t>KAPITALISIERTE KOSTEN</t>
  </si>
  <si>
    <t>COSTI CAPITALIZZATI</t>
  </si>
  <si>
    <t>810.100.00</t>
  </si>
  <si>
    <t>ZUWACHS VON IMMATERIELLEN ANLAGEVERMÖGEN</t>
  </si>
  <si>
    <t>INCREMENTO IMMOBILIZZAZIONI IMMATERIALI</t>
  </si>
  <si>
    <t>810.100.10</t>
  </si>
  <si>
    <t>35) Costi capitalizzati</t>
  </si>
  <si>
    <t>810.200.00</t>
  </si>
  <si>
    <t>ZUWACHS VON MATERIELLEN ANLAGEVERMÖGEN</t>
  </si>
  <si>
    <t>INCREMENTO IMMOBILIZZAZIONI MATERIALI</t>
  </si>
  <si>
    <t>810.200.10</t>
  </si>
  <si>
    <t>810.300.00</t>
  </si>
  <si>
    <t>VERWENDUNG VON ANTEILEN VON INVESTITIONSBEITRÄGEN</t>
  </si>
  <si>
    <t>UTILIZZO QUOTA DI CONTRIBUTI IN C/CAPITALE</t>
  </si>
  <si>
    <t>810.300.10</t>
  </si>
  <si>
    <t xml:space="preserve">UTILIZZO QUOTA DI CONTRIBUTI IN C/CAPITALE </t>
  </si>
  <si>
    <t>810.400.00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</si>
  <si>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</si>
  <si>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</si>
  <si>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</si>
  <si>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</si>
  <si>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</si>
  <si>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</si>
  <si>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</si>
  <si>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</si>
  <si>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</si>
  <si>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</si>
  <si>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</si>
  <si>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</si>
  <si>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</si>
  <si>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</si>
  <si>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</si>
  <si>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</si>
  <si>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</si>
  <si>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</si>
  <si>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</si>
  <si>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</si>
  <si>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</si>
  <si>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</si>
  <si>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</si>
  <si>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</si>
  <si>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</si>
  <si>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</si>
  <si>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</si>
  <si>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</si>
  <si>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</si>
  <si>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</si>
  <si>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</si>
  <si>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</si>
  <si>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</si>
  <si>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</si>
  <si>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</si>
  <si>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</si>
  <si>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</si>
  <si>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</si>
  <si>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</si>
  <si>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</si>
  <si>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</si>
  <si>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</si>
  <si>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</si>
  <si>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</si>
  <si>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</si>
  <si>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</si>
  <si>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</si>
  <si>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</si>
  <si>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</si>
  <si>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</si>
  <si>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</si>
  <si>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</si>
  <si>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</si>
  <si>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</si>
  <si>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</si>
  <si>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</si>
  <si>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</si>
  <si>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470.800.65</t>
  </si>
  <si>
    <t>65</t>
  </si>
  <si>
    <t>470.800.85</t>
  </si>
  <si>
    <t>85</t>
  </si>
  <si>
    <t>470.800.90</t>
  </si>
  <si>
    <t>470.800.95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</si>
  <si>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</si>
  <si>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</si>
  <si>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</si>
  <si>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</si>
  <si>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</si>
  <si>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</si>
  <si>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</si>
  <si>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</si>
  <si>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</si>
  <si>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</si>
  <si>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</si>
  <si>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</si>
  <si>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</si>
  <si>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</si>
  <si>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</si>
  <si>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AA0280</t>
  </si>
  <si>
    <t>AA0290</t>
  </si>
  <si>
    <t>AA0300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</si>
  <si>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</si>
  <si>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</si>
  <si>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</si>
  <si>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</si>
  <si>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</si>
  <si>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</si>
  <si>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</si>
  <si>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</si>
  <si>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</si>
  <si>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</si>
  <si>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AA0370</t>
  </si>
  <si>
    <t>AA0380</t>
  </si>
  <si>
    <t>AA0390</t>
  </si>
  <si>
    <t>BA2640</t>
  </si>
  <si>
    <t>BA2650</t>
  </si>
  <si>
    <t>BA2660</t>
  </si>
  <si>
    <t>BA2670</t>
  </si>
  <si>
    <t>BA2680</t>
  </si>
  <si>
    <t>BA2690</t>
  </si>
  <si>
    <t>BA2700</t>
  </si>
  <si>
    <t>BA2710</t>
  </si>
  <si>
    <t>BA2720</t>
  </si>
  <si>
    <t>BA2730</t>
  </si>
  <si>
    <t>BA2740</t>
  </si>
  <si>
    <t>BA2750</t>
  </si>
  <si>
    <t>BA2760</t>
  </si>
  <si>
    <t>BA2770</t>
  </si>
  <si>
    <t>BA2780</t>
  </si>
  <si>
    <t>740.200.65</t>
  </si>
  <si>
    <t>RÜCKZAHLUNG INPS FÜR BLUTSPENDER</t>
  </si>
  <si>
    <t>RIMBORSO INPS DONATORI DI SANGUE</t>
  </si>
  <si>
    <t>740.200.70</t>
  </si>
  <si>
    <t>RÜCKZAHLUNG INAIL FÜR UNFÄLLE DES BEDIENSTETEN PERSONALS</t>
  </si>
  <si>
    <t>RIMBORSO INAIL INFORTUNI PERSONALE DIPENDENTE</t>
  </si>
  <si>
    <t>740.200.80</t>
  </si>
  <si>
    <t>RÜCKERSTATTUNG FÜR GRATISSTROM</t>
  </si>
  <si>
    <t xml:space="preserve">RIMBORSO EROGAZIONE GRATUITA ENERGIA ELETTRICA </t>
  </si>
  <si>
    <t>740.200.90</t>
  </si>
  <si>
    <t>SONSTIGE REGRESSE, RÜCKZAHLUNGEN UND RÜCKERSTATTUNGEN</t>
  </si>
  <si>
    <t>ALTRE RIVALSE, RIMBORSI E RECUPERI</t>
  </si>
  <si>
    <t>740.300.00</t>
  </si>
  <si>
    <t>740.300.10</t>
  </si>
  <si>
    <t>PAY-BACK-RÜCKVERGÜTUNGEN VON PHARMAZEUTISCHEN BETRIEBEN</t>
  </si>
  <si>
    <t>RIMBORSO DA AZIENDE FARMACEUTICHE PER PAY BACK</t>
  </si>
  <si>
    <t>740.300.20</t>
  </si>
  <si>
    <t>ALTRI RIMBORSI PER ASSISTENZA FARMACEUTICA DA PUBBLICO</t>
  </si>
  <si>
    <t>750.000.00</t>
  </si>
  <si>
    <t>SONSTIGE EIGENE ERLÖSE AUS BETRIEBLICHER TÄTIGKEIT</t>
  </si>
  <si>
    <t>ALTRI RICAVI PROPRI OPERATIVI</t>
  </si>
  <si>
    <t>750.100.00</t>
  </si>
  <si>
    <t>ERLÖSE AUS LIEFERUNGEN VON GÜTERN</t>
  </si>
  <si>
    <t>750.100.20</t>
  </si>
  <si>
    <t>750.100.90</t>
  </si>
  <si>
    <t>ERLÖSE AUS LIEFERUNGEN VON GÜTERN FÜR ANDERE SUBJEKTE</t>
  </si>
  <si>
    <t>750.200.00</t>
  </si>
  <si>
    <t>RECHTE FÜR DIE AUSSTELLUNG VON BESTÄTIGUNGEN, VON KRANKENBLÄTTERN UND FOTOKOPIEN</t>
  </si>
  <si>
    <t>DIRITTI PER RILASCIO DI CERTIFICATI, DI CARTELLE CLINICHE E DI FOTOCOPIE</t>
  </si>
  <si>
    <t>750.200.10</t>
  </si>
  <si>
    <t>750.300.00</t>
  </si>
  <si>
    <t>CORRISPETTIVI PER DIRITTI SANITARI</t>
  </si>
  <si>
    <t>750.300.10</t>
  </si>
  <si>
    <t>750.400.00</t>
  </si>
  <si>
    <t>MODELLVERSUCHE</t>
  </si>
  <si>
    <t>SPERIMENTAZIONI</t>
  </si>
  <si>
    <t>750.400.10</t>
  </si>
  <si>
    <t>750.900.00</t>
  </si>
  <si>
    <t>ALTRI RICAVI OPERATIVI</t>
  </si>
  <si>
    <t>750.900.10</t>
  </si>
  <si>
    <t>760.000.00</t>
  </si>
  <si>
    <t>760</t>
  </si>
  <si>
    <t>SONSTIGE EIGENE ERLÖSE AUS NICHT-BETRIEBLICHER TÄTIGKEIT</t>
  </si>
  <si>
    <t>ALTRI RICAVI PROPRI NON OPERATIVI</t>
  </si>
  <si>
    <t>760.100.00</t>
  </si>
  <si>
    <t>DONAZIONI E LASCITI</t>
  </si>
  <si>
    <t>760.100.10</t>
  </si>
  <si>
    <t>760.300.00</t>
  </si>
  <si>
    <t>ERLÖSE AUS DEM VERMÖGEN</t>
  </si>
  <si>
    <t>RICAVI DA PATRIMONIO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</si>
  <si>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</si>
  <si>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</si>
  <si>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</si>
  <si>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</si>
  <si>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</si>
  <si>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</si>
  <si>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SONSTIGE ABWERTUNGEN</t>
  </si>
  <si>
    <t>ALTRE SVALUTAZIONI</t>
  </si>
  <si>
    <t>530.100.00</t>
  </si>
  <si>
    <t>ACCANTONAMENTI AL FONDO SVALUTAZIONE MAGAZZINO</t>
  </si>
  <si>
    <t>530.100.10</t>
  </si>
  <si>
    <t>ZUWEISUNG AN DEN ABWERTUNGSFONDS DER MEDIZINISCHEN RESTBESTÄNDE</t>
  </si>
  <si>
    <t>ACCANTONAMENTI AL FONDO SVALUTAZIONE SCORTE SANITARIE</t>
  </si>
  <si>
    <t>Variazione rimanenze sanitarie</t>
  </si>
  <si>
    <t>24) Variaz. delle Rimanenze</t>
  </si>
  <si>
    <t>B.7</t>
  </si>
  <si>
    <t>530.100.20</t>
  </si>
  <si>
    <t>ZUWEISUNG AN DEN ABWERTUNGSFONDS DER NICHT-MEDIZINISCHEN RESTBESTÄNDE</t>
  </si>
  <si>
    <t>ACCANTONAMENTI AL FONDO SVALUTAZIONE SCORTE NON SANITARIE</t>
  </si>
  <si>
    <t>B.14.B</t>
  </si>
  <si>
    <t>Variazione rimanenze non sanitarie</t>
  </si>
  <si>
    <t>530.150.00</t>
  </si>
  <si>
    <t>ZUWEISUNGEN AN DEN WERTBERICHTIGUNGSFONDS DER FORDERUNGEN</t>
  </si>
  <si>
    <t>ACCANTONAMENTI AL FONDO SVALUTAZIONE CREDITI</t>
  </si>
  <si>
    <t>530.150.10</t>
  </si>
  <si>
    <t>Svalutazione dei crediti</t>
  </si>
  <si>
    <t>22) Altri Accantonamenti</t>
  </si>
  <si>
    <t>B.6.d</t>
  </si>
  <si>
    <t>535.000.00</t>
  </si>
  <si>
    <t>535</t>
  </si>
  <si>
    <t>ZUWEISUNGEN AN RÜCKSTELLUNGEN FÜR RISIKEN UND AUFWENDUNGEN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</si>
  <si>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</si>
  <si>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</si>
  <si>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</si>
  <si>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</si>
  <si>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</si>
  <si>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</si>
  <si>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</si>
  <si>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</si>
  <si>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</si>
  <si>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</si>
  <si>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</si>
  <si>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</si>
  <si>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</si>
  <si>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</si>
  <si>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</si>
  <si>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</si>
  <si>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</si>
  <si>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</si>
  <si>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</si>
  <si>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</si>
  <si>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</si>
  <si>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</si>
  <si>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</si>
  <si>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</si>
  <si>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</si>
  <si>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</si>
  <si>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</si>
  <si>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</si>
  <si>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</si>
  <si>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</si>
  <si>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</si>
  <si>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</si>
  <si>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</si>
  <si>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</si>
  <si>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</si>
  <si>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</si>
  <si>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</si>
  <si>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</si>
  <si>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</si>
  <si>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</si>
  <si>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</si>
  <si>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</si>
  <si>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</si>
  <si>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</si>
  <si>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</si>
  <si>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</si>
  <si>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</si>
  <si>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</si>
  <si>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</si>
  <si>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</si>
  <si>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</si>
  <si>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</si>
  <si>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EA0470</t>
  </si>
  <si>
    <t>EA0480</t>
  </si>
  <si>
    <t>EA0490</t>
  </si>
  <si>
    <t>EA0500</t>
  </si>
  <si>
    <t>EA0510</t>
  </si>
  <si>
    <t>Meno mobilità sanitaria attiva</t>
  </si>
  <si>
    <t xml:space="preserve">Abzüglich "eigene" Einnahmen </t>
  </si>
  <si>
    <t>Meno entrate "proprie"</t>
  </si>
  <si>
    <t>Gewinn-Verlust</t>
  </si>
  <si>
    <t>Utile-Perdita</t>
  </si>
  <si>
    <t>MINISTERO DELLA SALUTE</t>
  </si>
  <si>
    <t>CE</t>
  </si>
  <si>
    <t>Direzione Generale della Programmazione Sanitaria</t>
  </si>
  <si>
    <t>STRUTTURA RILEVATA</t>
  </si>
  <si>
    <t>PERIODO DI RILEVAZIONE</t>
  </si>
  <si>
    <t xml:space="preserve"> REGIONE</t>
  </si>
  <si>
    <t xml:space="preserve">            ANNO</t>
  </si>
  <si>
    <t xml:space="preserve">    PREVENTIVO</t>
  </si>
  <si>
    <t>X</t>
  </si>
  <si>
    <t>CONSUNTIVO</t>
  </si>
  <si>
    <t>APPROVAZIONE BILANCIO DA PARTE DEL COLLEGIO SINDACALE</t>
  </si>
  <si>
    <t xml:space="preserve">SI </t>
  </si>
  <si>
    <t xml:space="preserve">NO  </t>
  </si>
  <si>
    <t>Cons</t>
  </si>
  <si>
    <t>CODICE</t>
  </si>
  <si>
    <t>IMPORTO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</si>
  <si>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</si>
  <si>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</si>
  <si>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</si>
  <si>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</si>
  <si>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</si>
  <si>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</si>
  <si>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</si>
  <si>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</si>
  <si>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</si>
  <si>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</si>
  <si>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</si>
  <si>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</si>
  <si>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</si>
  <si>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</si>
  <si>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</si>
  <si>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</si>
  <si>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</si>
  <si>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</si>
  <si>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</si>
  <si>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AA0100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</si>
  <si>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</si>
  <si>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</si>
  <si>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</si>
  <si>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</si>
  <si>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</si>
  <si>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</si>
  <si>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</si>
  <si>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>AA0150</t>
  </si>
  <si>
    <t>AA0160</t>
  </si>
  <si>
    <t>AA0170</t>
  </si>
  <si>
    <t>AA0180</t>
  </si>
  <si>
    <t>A.1.C)  Contributi c/esercizio per ricerca</t>
  </si>
  <si>
    <t>AA0190</t>
  </si>
  <si>
    <t>B.7.A.3) Costo del personale dirigente ruolo tecnico - altro</t>
  </si>
  <si>
    <t>BA2370</t>
  </si>
  <si>
    <t>720.200.20</t>
  </si>
  <si>
    <t>Prestazioni ambulatoriali</t>
  </si>
  <si>
    <t>720.200.30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</si>
  <si>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</si>
  <si>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</si>
  <si>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</si>
  <si>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</si>
  <si>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</si>
  <si>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</si>
  <si>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</si>
  <si>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</si>
  <si>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</si>
  <si>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</si>
  <si>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</si>
  <si>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</si>
  <si>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</si>
  <si>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</si>
  <si>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</si>
  <si>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</si>
  <si>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</si>
  <si>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</si>
  <si>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</si>
  <si>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</si>
  <si>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</si>
  <si>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</si>
  <si>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</si>
  <si>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</si>
  <si>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</si>
  <si>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</si>
  <si>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</si>
  <si>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</si>
  <si>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</si>
  <si>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</si>
  <si>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</si>
  <si>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</si>
  <si>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</si>
  <si>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</si>
  <si>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</si>
  <si>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</si>
  <si>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</si>
  <si>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</si>
  <si>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</si>
  <si>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</si>
  <si>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</si>
  <si>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</si>
  <si>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</si>
  <si>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</si>
  <si>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</si>
  <si>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</si>
  <si>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</si>
  <si>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</si>
  <si>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</si>
  <si>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</si>
  <si>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510.700.22</t>
  </si>
  <si>
    <t>B.2.B.2.4.C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</si>
  <si>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</si>
  <si>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</si>
  <si>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</si>
  <si>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</si>
  <si>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</si>
  <si>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</si>
  <si>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</si>
  <si>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</si>
  <si>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</si>
  <si>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</si>
  <si>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</si>
  <si>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</si>
  <si>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</si>
  <si>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</si>
  <si>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</si>
  <si>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</si>
  <si>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</si>
  <si>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</si>
  <si>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</si>
  <si>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</si>
  <si>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</si>
  <si>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</si>
  <si>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AA0930</t>
  </si>
  <si>
    <t>AA0940</t>
  </si>
  <si>
    <t>A.6)  Compartecipazione alla spesa per prestazioni sanitarie (Ticket)</t>
  </si>
  <si>
    <t>AA0950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</si>
  <si>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</si>
  <si>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</si>
  <si>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</si>
  <si>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</si>
  <si>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</si>
  <si>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</si>
  <si>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</si>
  <si>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</si>
  <si>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</si>
  <si>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</si>
  <si>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</si>
  <si>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</si>
  <si>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</si>
  <si>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</si>
  <si>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</si>
  <si>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</si>
  <si>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</si>
  <si>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</si>
  <si>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</si>
  <si>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</si>
  <si>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</si>
  <si>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</si>
  <si>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</si>
  <si>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</si>
  <si>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</si>
  <si>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</si>
  <si>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</si>
  <si>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</si>
  <si>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</si>
  <si>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</si>
  <si>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</si>
  <si>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</si>
  <si>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</si>
  <si>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</si>
  <si>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</si>
  <si>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</si>
  <si>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x.x.x</t>
  </si>
  <si>
    <t>700.000.00</t>
  </si>
  <si>
    <t>BEITRÄGE DES LANDES FÜR LAUFENDE AUSGABEN</t>
  </si>
  <si>
    <t>CONTRIBUTI IN C/ESERCIZIO DA PAB</t>
  </si>
  <si>
    <t>700.100.00</t>
  </si>
  <si>
    <t xml:space="preserve">NICHT VERWENDUNGSGEBUNDENE BEITRÄGE DES LANDES FÜR LAUFENDE AUSGABEN </t>
  </si>
  <si>
    <t>CONTRIBUTI IN C/ESERCIZIO DA PAB CON DESTINAZIONE INDISTINTA</t>
  </si>
  <si>
    <t>700.100.10</t>
  </si>
  <si>
    <t>34) Meno entrate Contributi PAB o Stato *</t>
  </si>
  <si>
    <t>A.1.a</t>
  </si>
  <si>
    <t>700.200.00</t>
  </si>
  <si>
    <t xml:space="preserve">VERWENDUNGSGEBUNDENE BEITRÄGE DES LANDES FÜR LAUFENDE AUSGABEN </t>
  </si>
  <si>
    <t>CONTRIBUTI IN C/ESERCIZIO DA PAB CON DESTINAZIONE VINCOLATA</t>
  </si>
  <si>
    <t>700.200.10</t>
  </si>
  <si>
    <t>700.300.00</t>
  </si>
  <si>
    <t>BEITRÄGE DES LANDES FÜR LAUFENDE AUSGABEN FÜR DIE ERNEUERUNG VON VERTRÄGEN</t>
  </si>
  <si>
    <t>CONTRIBUTI IN C/ESERCIZIO DA PAB PER RINNOVI CONTRATTUALI</t>
  </si>
  <si>
    <t>700.300.10</t>
  </si>
  <si>
    <t>700.400.00</t>
  </si>
  <si>
    <t>BEITRÄGE DES LANDES FÜR LAUFENDE AUSGABEN FÜR ZUSÄTZLICHE BETREUUNG</t>
  </si>
  <si>
    <t>CONTRIBUTI IN C/ESERCIZIO DA PAB PER ASSISTENZA AGGIUNTIVA</t>
  </si>
  <si>
    <t>700.400.10</t>
  </si>
  <si>
    <t>LEISTUNGEN GEM. ART. 15 LG 30/92 (AUSSERORDENTLICHE VERSORGUNG MIT PROTHESEN)</t>
  </si>
  <si>
    <t>PRESTAZIONI DI CUI ALL'ART. 15 LP 30/92 (FORN. STRAORD. PROT.)</t>
  </si>
  <si>
    <t>700.400.20</t>
  </si>
  <si>
    <t>700.400.30</t>
  </si>
  <si>
    <t>LEISTUNGEN GEM. LG 16/88 (ZAHNÄRZTLICHE BETREUUNG)</t>
  </si>
  <si>
    <t>PRESTAZIONI DI CUI L.P. 16/88 (ASSISTENZA ODONTOIATRICA)</t>
  </si>
  <si>
    <t>700.400.90</t>
  </si>
  <si>
    <t>SONSTIGE BEITRÄGE DES LANDES FÜR ZUSÄTZLICHE BETREUUNG</t>
  </si>
  <si>
    <t xml:space="preserve">ALTRI CONTRIBUTI IN C/ESERCIZIO DA PAB PER ASSISTENZA AGGIUNTIVA </t>
  </si>
  <si>
    <t>710.000.00</t>
  </si>
  <si>
    <t>710</t>
  </si>
  <si>
    <t>SONSTIGE BEITRÄGE FÜR LAUFENDE AUSGABEN</t>
  </si>
  <si>
    <t>ALTRI CONTRIBUTI IN C/ESERCIZIO</t>
  </si>
  <si>
    <t>710.100.00</t>
  </si>
  <si>
    <t>710.100.10</t>
  </si>
  <si>
    <t>710.200.00</t>
  </si>
  <si>
    <t>BEITRÄGE FÜR LAUFENDE AUSGABEN VON ANDEREN KÖRPERSCHAFTEN</t>
  </si>
  <si>
    <t>CONTRIBUTI IN C/ESERCIZIO DA ALTRI ENTI</t>
  </si>
  <si>
    <t>710.200.10</t>
  </si>
  <si>
    <t>720.000.00</t>
  </si>
  <si>
    <t>720</t>
  </si>
  <si>
    <t>ERLÖSE AUS LEISTUNGEN</t>
  </si>
  <si>
    <t>RICAVI PER PRESTAZIONI</t>
  </si>
  <si>
    <t>720.100.00</t>
  </si>
  <si>
    <t>ERLÖSE AUS KRANKENHAUSAUFENTHALTSBEZOGENEN LEISTUNGEN</t>
  </si>
  <si>
    <t>RICAVI PER PRESTAZIONI IN REGIME DI RICOVERO</t>
  </si>
  <si>
    <t>FORNITURE DI PRODOTTI SANITARI DA PARTE DELLE AZIENDE SANITARIE EXTRA PAB</t>
  </si>
  <si>
    <t>420.000.00</t>
  </si>
  <si>
    <t>420</t>
  </si>
  <si>
    <t>RÜCKERSTATTUNGEN, ZUWEISUNGEN UND BEITRÄGE</t>
  </si>
  <si>
    <t>RIMBORSI, ASSEGNI E CONTRIBUTI</t>
  </si>
  <si>
    <t>420.100.00</t>
  </si>
  <si>
    <t>RÜCKERSTATTUNGEN FÜR STATIONÄRE BEHANDLUNG IN ITALIEN</t>
  </si>
  <si>
    <t>RIMBORSI PER RICOVERI IN ITALIA</t>
  </si>
  <si>
    <t>420.100.10</t>
  </si>
  <si>
    <t>Altri rimborsi, assegni e contributi</t>
  </si>
  <si>
    <t>420.110.00</t>
  </si>
  <si>
    <t>RÜCKERSTATTUNGEN FÜR STATIONÄRE BEHANDLUNG IM AUSLAND</t>
  </si>
  <si>
    <t>RIMBORSI PER RICOVERI ALL'ESTERO</t>
  </si>
  <si>
    <t>420.110.10</t>
  </si>
  <si>
    <t>Rimborsi per cure all'estero</t>
  </si>
  <si>
    <t>420.120.00</t>
  </si>
  <si>
    <t>RÜCKERSTATTUNGEN FÜR ERGÄNZENDE BEHANDLUNG</t>
  </si>
  <si>
    <t>RIMBORSI PER ASSISTENZA INTEGRATIVA</t>
  </si>
  <si>
    <t>420.120.10</t>
  </si>
  <si>
    <t>420.130.00</t>
  </si>
  <si>
    <t>RÜCKERSTATTUNGEN FÜR ALLGEMEIN-ÄRZTLICHE BETREUUNG</t>
  </si>
  <si>
    <t>RIMBORSI PER ASSISTENZA MEDICO GENERICA</t>
  </si>
  <si>
    <t>420.130.10</t>
  </si>
  <si>
    <t>420.130.20</t>
  </si>
  <si>
    <t>RÜCKERSTATTUNGEN DER KOSTEN FÜR HAUSGEBURTEN (LG 33/88 ART. 21)</t>
  </si>
  <si>
    <t>420.140.00</t>
  </si>
  <si>
    <t>RÜCKERSTATTUNGEN FÜR FACHÄRZTLICHE LEISTUNGEN</t>
  </si>
  <si>
    <t>RIMBORSI PER PRESTAZIONI SPECIALISTICHE</t>
  </si>
  <si>
    <t>420.140.10</t>
  </si>
  <si>
    <t>420.150.00</t>
  </si>
  <si>
    <t>RÜCKERSTATTUNGEN FÜR ZAHNÄRZTLICHE LEISTUNGEN LG 16/88</t>
  </si>
  <si>
    <t>RIMBORSI PER ASSISTENZA ODONTOIATRICA LP 16/88</t>
  </si>
  <si>
    <t>420.150.10</t>
  </si>
  <si>
    <t>420.200.00</t>
  </si>
  <si>
    <t>BEITRÄGE, ZUWEISUNGEN UND VERSCHIEDENE UNTERSTÜTZUNGSGELDER FÜR ALLGEMEIN-ÄRZTLICHE BETREUUNG</t>
  </si>
  <si>
    <t>VERWENDUNG DER ANFANGSBEWERTUNGSRÜCKLAGE DES ANLAGEVERMÖGENS</t>
  </si>
  <si>
    <t>UTILIZZO RISERVA PER VALUTAZIONE INIZIALE DELLE IMMOBILIZZAZIONI</t>
  </si>
  <si>
    <t>810.400.10</t>
  </si>
  <si>
    <t>810.500.00</t>
  </si>
  <si>
    <t>VERWENDUNG DER RÜCKLAGE FÜR IN VORHERIGEN GESCHÄFTSJAHREN ZWECKGEBUNDENE INVESTITIONEN</t>
  </si>
  <si>
    <t>UTILIZZO RISERVA PER INVESTIMENTI GIA' IMPEGNATI NELLE GESTIONI PREGRESSE</t>
  </si>
  <si>
    <t>810.500.10</t>
  </si>
  <si>
    <t>810.600.00</t>
  </si>
  <si>
    <t>VERWENDUNG DER RÜCKLAGE FÜR SCHENKUNGEN UND LEGATE</t>
  </si>
  <si>
    <t>UTILIZZO RISERVA PER DONAZIONI E LASCITI</t>
  </si>
  <si>
    <t>810.600.10</t>
  </si>
  <si>
    <t>TOTALE ATTIVO</t>
  </si>
  <si>
    <t>TOTALE PASSIVO E NETTO</t>
  </si>
  <si>
    <t>TOTALE COSTI</t>
  </si>
  <si>
    <t>TOTALE RICAVI</t>
  </si>
  <si>
    <t>RISULTATO ECONOMICO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</si>
  <si>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</si>
  <si>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</si>
  <si>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</si>
  <si>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</si>
  <si>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</si>
  <si>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</si>
  <si>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</si>
  <si>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</si>
  <si>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</si>
  <si>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</si>
  <si>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</si>
  <si>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</si>
  <si>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</si>
  <si>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</si>
  <si>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</si>
  <si>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</si>
  <si>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</si>
  <si>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</si>
  <si>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</si>
  <si>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</si>
  <si>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</si>
  <si>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</si>
  <si>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</si>
  <si>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</si>
  <si>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</si>
  <si>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BA2070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</si>
  <si>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</si>
  <si>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</si>
  <si>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</si>
  <si>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</si>
  <si>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</si>
  <si>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</si>
  <si>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</si>
  <si>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</si>
  <si>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</si>
  <si>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</si>
  <si>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B.6.A) Costo del personale dirigente ruolo professionale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</si>
  <si>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</si>
  <si>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</si>
  <si>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</si>
  <si>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</si>
  <si>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</si>
  <si>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</si>
  <si>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</si>
  <si>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</si>
  <si>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</si>
  <si>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</si>
  <si>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</si>
  <si>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</si>
  <si>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</si>
  <si>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</si>
  <si>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</si>
  <si>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</si>
  <si>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</si>
  <si>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</si>
  <si>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</si>
  <si>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</si>
  <si>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</si>
  <si>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</si>
  <si>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</si>
  <si>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</si>
  <si>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</si>
  <si>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</si>
  <si>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</si>
  <si>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</si>
  <si>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</si>
  <si>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</si>
  <si>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</si>
  <si>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</si>
  <si>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</si>
  <si>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</si>
  <si>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</si>
  <si>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</si>
  <si>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</si>
  <si>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</si>
  <si>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</si>
  <si>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</si>
  <si>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</si>
  <si>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</si>
  <si>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</si>
  <si>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</si>
  <si>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</si>
  <si>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</si>
  <si>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</si>
  <si>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</si>
  <si>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</si>
  <si>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</si>
  <si>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</si>
  <si>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</si>
  <si>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</si>
  <si>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</si>
  <si>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</si>
  <si>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</si>
  <si>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</si>
  <si>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</si>
  <si>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Prestazioni di ricovero</t>
  </si>
  <si>
    <t>33) Meno entrate "proprie"</t>
  </si>
  <si>
    <t>32) Meno mobilità sanitaria attiva</t>
  </si>
  <si>
    <t>720.100.20</t>
  </si>
  <si>
    <t>KRANKENHAUSAUFENTHALTSBEZOGENE LEISTUNGEN  FÜR SANITÄTSBETRIEBE AUSSERHALB DES LANDES (DIREKT VERRECHNET)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</si>
  <si>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</si>
  <si>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</si>
  <si>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</si>
  <si>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</si>
  <si>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</si>
  <si>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</si>
  <si>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</si>
  <si>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</si>
  <si>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</si>
  <si>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</si>
  <si>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</si>
  <si>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</si>
  <si>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</si>
  <si>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</si>
  <si>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</si>
  <si>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</si>
  <si>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</si>
  <si>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BA1160</t>
  </si>
  <si>
    <t>B.2.A.12.2) - da pubblico (altri soggetti pubblici della Regione)</t>
  </si>
  <si>
    <t>BA1170</t>
  </si>
  <si>
    <t>BA1180</t>
  </si>
  <si>
    <t>BA1190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</si>
  <si>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</si>
  <si>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</si>
  <si>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</si>
  <si>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</si>
  <si>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</si>
  <si>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</si>
  <si>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</si>
  <si>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3.) Jahresergebnis</t>
  </si>
  <si>
    <t>3.) risultato</t>
  </si>
  <si>
    <t>Weitere Finanzierungen - Kürzungen von Landesfinanzierungen - Staatliche Einsparungsmaßnahmen</t>
  </si>
  <si>
    <t>4.) Übertrag Jahresergebnis</t>
  </si>
  <si>
    <t>4.) riporto risultato</t>
  </si>
  <si>
    <t>Mittel aus Gewinnvorträgen</t>
  </si>
  <si>
    <t>Gewinnrücklage</t>
  </si>
  <si>
    <t>AA0600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</si>
  <si>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</si>
  <si>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</si>
  <si>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</si>
  <si>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</si>
  <si>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</si>
  <si>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</si>
  <si>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</si>
  <si>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AA0650</t>
  </si>
  <si>
    <t>410.200.20</t>
  </si>
  <si>
    <t>410.200.21</t>
  </si>
  <si>
    <t>410.200.22</t>
  </si>
  <si>
    <t>ZURVERFÜGUNGSTELLUNG VON PERSONAL VON SANITÄTSBETRIEBEN AUSSERHALB DES LANDES (DIREKT VERRECHNET)</t>
  </si>
  <si>
    <t>FORNITURA DI PERSONALE DA AZIENDE SANITARIE EXTRA PAB (FATTURATE DIRETTAMENTE)</t>
  </si>
  <si>
    <t>410.200.30</t>
  </si>
  <si>
    <t>760.300.10</t>
  </si>
  <si>
    <t>760.400.00</t>
  </si>
  <si>
    <t>AKTIVMIETEN</t>
  </si>
  <si>
    <t>LOCAZIONI ATTIVE</t>
  </si>
  <si>
    <t>760.400.10</t>
  </si>
  <si>
    <t>760.500.00</t>
  </si>
  <si>
    <t>ERLÖSE VON BENUTZERN DES KINDERHORTS</t>
  </si>
  <si>
    <t>RICAVI DA UTENTI ASILI NIDO</t>
  </si>
  <si>
    <t>760.500.10</t>
  </si>
  <si>
    <t>760.900.00</t>
  </si>
  <si>
    <t>SONSTIGE ERLÖSE AUS NICHT-BETRIEBLICHER TÄTIGKEIT</t>
  </si>
  <si>
    <t>760.900.10</t>
  </si>
  <si>
    <t>770.000.00</t>
  </si>
  <si>
    <t>770</t>
  </si>
  <si>
    <t>FINANZERTRÄGE</t>
  </si>
  <si>
    <t>PROVENTI FINANZIARI</t>
  </si>
  <si>
    <t>770.100.00</t>
  </si>
  <si>
    <t>PROVENTI FINANZIARI SU DEPOSITI ED ECCEDENZE DI CASSA</t>
  </si>
  <si>
    <t>770.100.10</t>
  </si>
  <si>
    <t>AKTIVZINSEN</t>
  </si>
  <si>
    <t>INTERESSI ATTIVI</t>
  </si>
  <si>
    <t>Interessi attivi su c/c postali e bancari</t>
  </si>
  <si>
    <t>27) Oneri finanziari (al netto proventi)</t>
  </si>
  <si>
    <t>770.100.20</t>
  </si>
  <si>
    <t>AKTIVZINSEN AUF BEAUFTRAGTEM KREDITINSTITUT GEMÄSS  ART. 15 LG 14/2001</t>
  </si>
  <si>
    <t>INTERESSI ATTIVI SU ISTITUTO INCARICATO ART. 15 LP 14/2001</t>
  </si>
  <si>
    <t>770.200.00</t>
  </si>
  <si>
    <t>FINANZERTRÄGE AUS WERTPAPIEREN</t>
  </si>
  <si>
    <t>PROVENTI FINANZIARI SU TITOLI</t>
  </si>
  <si>
    <t>770.200.10</t>
  </si>
  <si>
    <t>C.2.C</t>
  </si>
  <si>
    <t>Proventi finanziari da titoli iscritti nelle immobilizzazioni</t>
  </si>
  <si>
    <t>770.900.00</t>
  </si>
  <si>
    <t>SONSTIGE FINANZERTRÄGE</t>
  </si>
  <si>
    <t>ALTRI PROVENTI FINANZIARI</t>
  </si>
  <si>
    <t>770.900.10</t>
  </si>
  <si>
    <t>Altri interessi attivi</t>
  </si>
  <si>
    <t>770.900.20</t>
  </si>
  <si>
    <t>DIVIDENDEN</t>
  </si>
  <si>
    <t>DIVIDENDI</t>
  </si>
  <si>
    <t>Proventi da partecipazioni</t>
  </si>
  <si>
    <t>780.000.00</t>
  </si>
  <si>
    <t>780</t>
  </si>
  <si>
    <t>AUSSERORDENTLICHE ERTRÄGE</t>
  </si>
  <si>
    <t>SOPRAVVENIENZE ATTIVE</t>
  </si>
  <si>
    <t>780.100.00</t>
  </si>
  <si>
    <t>Altre sopravvenienze attive v/terzi</t>
  </si>
  <si>
    <t>28) Oneri straordinari (al netto proventi)</t>
  </si>
  <si>
    <t>E.1.b</t>
  </si>
  <si>
    <t>780.100.20</t>
  </si>
  <si>
    <t>AKTIVRUNDUNGEN</t>
  </si>
  <si>
    <t>ARROTONDAMENTI ATTIVI</t>
  </si>
  <si>
    <t>E.1.B.4</t>
  </si>
  <si>
    <t>Altri proventi straordinari</t>
  </si>
  <si>
    <t>780.100.30</t>
  </si>
  <si>
    <t>SCONTI ED ABBUONI ATTIVI</t>
  </si>
  <si>
    <t>780.200.00</t>
  </si>
  <si>
    <t>PASSIVSCHWUND</t>
  </si>
  <si>
    <t>INSUSSISTENZE DEL PASSIVO</t>
  </si>
  <si>
    <t>E.1.B.3.2.G</t>
  </si>
  <si>
    <t>Altre Insussistenze attive v/terzi</t>
  </si>
  <si>
    <t>780.300.00</t>
  </si>
  <si>
    <t>AKTIVE DIFFERENZEN AUS GELDWECHSEL</t>
  </si>
  <si>
    <t>DIFFERENZE ATTIVE DI CAMBIO</t>
  </si>
  <si>
    <t>780.300.10</t>
  </si>
  <si>
    <t>ERZIELTE AKTIVE DIFFERENZEN AUS GELDWECHSEL</t>
  </si>
  <si>
    <t>DIFFERENZE ATTIVE DI CAMBIO REALIZZATE</t>
  </si>
  <si>
    <t>C.2.E</t>
  </si>
  <si>
    <t>Utili su cambi</t>
  </si>
  <si>
    <t>780.300.20</t>
  </si>
  <si>
    <t>NICHT ERZIELTE AKTIVE DIFFERENZEN AUS GELDWECHSEL</t>
  </si>
  <si>
    <t>DIFFERENZE ATTIVE DI CAMBIO NON REALIZZATE</t>
  </si>
  <si>
    <t>790.000.00</t>
  </si>
  <si>
    <t>790</t>
  </si>
  <si>
    <t>AUFWERTUNGEN AUS BERICHTIGUNGEN VON FINANZAKTIVA</t>
  </si>
  <si>
    <t>RIVALUTAZIONI PER RETTIFICHE DI ATTIVITÀ FINANZIARIE</t>
  </si>
  <si>
    <t>790.100.00</t>
  </si>
  <si>
    <t>790.100.10</t>
  </si>
  <si>
    <t>Rivalutazioni</t>
  </si>
  <si>
    <t>D.1</t>
  </si>
  <si>
    <t>790.100.20</t>
  </si>
  <si>
    <t>AUFWERTUNGEN FÜR BETEILIGUNGEN AUS DEM UMLAUFVERMÖGEN</t>
  </si>
  <si>
    <t>RIVALUTAZIONE PARTECIPAZIONI ATTIVO CIRCOLANTE</t>
  </si>
  <si>
    <t>790.100.30</t>
  </si>
  <si>
    <t>AUFWERTUNGEN FÜR WERTPAPIERE AUS DEM UMLAUFVERMÖGEN</t>
  </si>
  <si>
    <t>RIVALUTAZIONE TITOLI ATTIVO CIRCOLANTE</t>
  </si>
  <si>
    <t>790.100.40</t>
  </si>
  <si>
    <t>AUFWERTUNGEN FÜR BETEILIGUNGEN  AUS DEM ANLAGEVERMÖGEN</t>
  </si>
  <si>
    <t>RIVALUTAZIONE PARTECIPAZIONI IMMOBILIZZATE</t>
  </si>
  <si>
    <t>790.100.50</t>
  </si>
  <si>
    <t>AUFWERTUNGEN FÜR WERTPAPIERE AUS DEM ANLAGEVERMÖGEN</t>
  </si>
  <si>
    <t>RIVALUTAZIONE TITOLI IMMOBILIZZATI</t>
  </si>
  <si>
    <t>800.000.00</t>
  </si>
  <si>
    <t>VERÄUSSERUNGSGEWINNE</t>
  </si>
  <si>
    <t>PLUSVALENZE</t>
  </si>
  <si>
    <t>800.100.00</t>
  </si>
  <si>
    <t>SOZIALABGABEN - PERSONAL DES FACHSTELLENPLANS</t>
  </si>
  <si>
    <t>ONERI SOCIALI - PERSONALE RUOLO PROFESSIONALE</t>
  </si>
  <si>
    <t>480.600.10</t>
  </si>
  <si>
    <t>480.600.20</t>
  </si>
  <si>
    <t>480.600.30</t>
  </si>
  <si>
    <t>480.600.40</t>
  </si>
  <si>
    <t>480.700.00</t>
  </si>
  <si>
    <t>AA0400</t>
  </si>
  <si>
    <t>AA0410</t>
  </si>
  <si>
    <t>AA0420</t>
  </si>
  <si>
    <t>AA0430</t>
  </si>
  <si>
    <t>AA0440</t>
  </si>
  <si>
    <t>AA0450</t>
  </si>
  <si>
    <t>BA2790</t>
  </si>
  <si>
    <t>BA2800</t>
  </si>
  <si>
    <t>BA2810</t>
  </si>
  <si>
    <t>BA2820</t>
  </si>
  <si>
    <t>BA2830</t>
  </si>
  <si>
    <t>BA2840</t>
  </si>
  <si>
    <t>BA2850</t>
  </si>
  <si>
    <t>BA2860</t>
  </si>
  <si>
    <t>BA2870</t>
  </si>
  <si>
    <t>BA2880</t>
  </si>
  <si>
    <t>BA2890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</si>
  <si>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</si>
  <si>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</si>
  <si>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</si>
  <si>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</si>
  <si>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</si>
  <si>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</si>
  <si>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</si>
  <si>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</si>
  <si>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</si>
  <si>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</si>
  <si>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</si>
  <si>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</si>
  <si>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</si>
  <si>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</si>
  <si>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</si>
  <si>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</si>
  <si>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</si>
  <si>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</si>
  <si>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</si>
  <si>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</si>
  <si>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</si>
  <si>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</si>
  <si>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</si>
  <si>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</si>
  <si>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</si>
  <si>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</si>
  <si>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</si>
  <si>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</si>
  <si>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</si>
  <si>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</si>
  <si>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</si>
  <si>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</si>
  <si>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</si>
  <si>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</si>
  <si>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</si>
  <si>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</si>
  <si>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</si>
  <si>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</si>
  <si>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</si>
  <si>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</si>
  <si>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</si>
  <si>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</si>
  <si>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</si>
  <si>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</si>
  <si>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</si>
  <si>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</si>
  <si>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</si>
  <si>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</si>
  <si>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</si>
  <si>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</si>
  <si>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</si>
  <si>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</si>
  <si>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</si>
  <si>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</si>
  <si>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</si>
  <si>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</si>
  <si>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</si>
  <si>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EA0060</t>
  </si>
  <si>
    <t>EA0070</t>
  </si>
  <si>
    <t>B.2.A.16.5)  Costi per servizi sanitari - Mobilità internazionale passiva</t>
  </si>
  <si>
    <t>BA1550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</si>
  <si>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</si>
  <si>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</si>
  <si>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</si>
  <si>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</si>
  <si>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</si>
  <si>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</si>
  <si>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</si>
  <si>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</si>
  <si>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</si>
  <si>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</si>
  <si>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</si>
  <si>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</si>
  <si>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</si>
  <si>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</si>
  <si>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</si>
  <si>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</si>
  <si>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</si>
  <si>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</si>
  <si>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</si>
  <si>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</si>
  <si>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</si>
  <si>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</si>
  <si>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</si>
  <si>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</si>
  <si>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</si>
  <si>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</si>
  <si>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</si>
  <si>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</si>
  <si>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</si>
  <si>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</si>
  <si>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</si>
  <si>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</si>
  <si>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</si>
  <si>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</si>
  <si>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</si>
  <si>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</si>
  <si>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</si>
  <si>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</si>
  <si>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</si>
  <si>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</si>
  <si>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</si>
  <si>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</si>
  <si>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</si>
  <si>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</si>
  <si>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</si>
  <si>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</si>
  <si>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</si>
  <si>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</si>
  <si>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</si>
  <si>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</si>
  <si>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</si>
  <si>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</si>
  <si>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</si>
  <si>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</si>
  <si>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</si>
  <si>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</si>
  <si>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BA1840</t>
  </si>
  <si>
    <t>B.2.B.2.4) Rimborso oneri stipendiali del personale non sanitario in comando</t>
  </si>
  <si>
    <t>Allegato tabella dinamica costi/ricavi</t>
  </si>
  <si>
    <t>Aufwandsposten</t>
  </si>
  <si>
    <t>Descrizione voce di costo</t>
  </si>
  <si>
    <t xml:space="preserve">Sanitätsbetrieb der Autonomen Provinz Bozen - Azienda Sanitaria della Provincia Autonoma di Bolzano - </t>
  </si>
  <si>
    <t xml:space="preserve">Einkäufe von sanitäre Gütern </t>
  </si>
  <si>
    <t>Acquisto beni sanitari</t>
  </si>
  <si>
    <t xml:space="preserve">Einkäufe von nicht sanitäre Gütern </t>
  </si>
  <si>
    <t>Acquisto beni non sanitari</t>
  </si>
  <si>
    <t>In Auftrag gegebene Leistungen</t>
  </si>
  <si>
    <t>Servizi appaltati</t>
  </si>
  <si>
    <t>Instandhaltungen</t>
  </si>
  <si>
    <t>Manutenzioni</t>
  </si>
  <si>
    <t>Gebühren</t>
  </si>
  <si>
    <t>Utenze</t>
  </si>
  <si>
    <t>Godimento beni di terzi</t>
  </si>
  <si>
    <t>Allgemeine Kosten u. ver.Aufw. der Gebar.</t>
  </si>
  <si>
    <t>Costi gener. e oneri div. gestione</t>
  </si>
  <si>
    <t>A -Totale beni + prest. non sanitarie</t>
  </si>
  <si>
    <t>Pharmazeutische Betreuung</t>
  </si>
  <si>
    <t>Assistenza farmaceutica</t>
  </si>
  <si>
    <t>Gesundheitliche Grundversorgung</t>
  </si>
  <si>
    <t xml:space="preserve">Assistenza sanitaria di base </t>
  </si>
  <si>
    <t>Ankauf san. Leist.-Krank.betr.i.Abkomm.</t>
  </si>
  <si>
    <t>Acq. Prest. san. - assist. osped. in conv.</t>
  </si>
  <si>
    <t>Ankauf san.Leist.-Vertragsfachärztl.Betr.</t>
  </si>
  <si>
    <t>Acq. Prest. san. - assist. special.conv.</t>
  </si>
  <si>
    <t>Ankauf san. Leist.- Altersheime</t>
  </si>
  <si>
    <t>Acq. Prest. san. - case di riposo</t>
  </si>
  <si>
    <t>Ankauf andere san. Leistungen</t>
  </si>
  <si>
    <t>Acq. Altre prest. sanitarie</t>
  </si>
  <si>
    <t>Rückerstattung Zuweisungen u. Beitr. B.2.i.</t>
  </si>
  <si>
    <t>Rimborsi assegni contributi B.2.i.</t>
  </si>
  <si>
    <t>Zusätzliche Betreuung</t>
  </si>
  <si>
    <t>Assistenza aggiuntiva</t>
  </si>
  <si>
    <t xml:space="preserve">B - Einkäufe sanitäre Leistungen </t>
  </si>
  <si>
    <t>B - Acquisto prest. sanitarie</t>
  </si>
  <si>
    <t>Aufenth.bez.Leist.u.n.Auf.(Pass. San.Mob.)</t>
  </si>
  <si>
    <t>Prest. ricov.  n. ric. (mob. sanit. passiva)</t>
  </si>
  <si>
    <t>Personal</t>
  </si>
  <si>
    <t xml:space="preserve">Personale  </t>
  </si>
  <si>
    <t>Rückstellungen neue Verträge abh. Personal</t>
  </si>
  <si>
    <t>Accantonamento nuovi contratti pers. dip.</t>
  </si>
  <si>
    <t>Andere Rückstellungen</t>
  </si>
  <si>
    <t>Altri Accantonamenti</t>
  </si>
  <si>
    <t>Abschreibungen</t>
  </si>
  <si>
    <t>Ammortamenti</t>
  </si>
  <si>
    <t>Variaz. delle Rimanenze</t>
  </si>
  <si>
    <t>C - Insgesamt versch. Aufwendungen</t>
  </si>
  <si>
    <t>C - Totale costi vari</t>
  </si>
  <si>
    <t>Summe der Aufwendungen für die Produktion (A+B+C)</t>
  </si>
  <si>
    <t>Totale Costi della Produzione (A+B+C)</t>
  </si>
  <si>
    <t>Finanzierungslasten (abz. Einnahmen)</t>
  </si>
  <si>
    <t>Oneri finanziari (al netto proventi)</t>
  </si>
  <si>
    <t>Ausserordentliche Lasten (abz. Einnahmen)</t>
  </si>
  <si>
    <t>Oneri straordinari (al netto proventi)</t>
  </si>
  <si>
    <t>D - andere Aufwendungen</t>
  </si>
  <si>
    <t>D - Altri costi</t>
  </si>
  <si>
    <t>E - IRPEG/IRES</t>
  </si>
  <si>
    <t>Summe für allgemeine Aufwendungen (A+B+C+D+E)</t>
  </si>
  <si>
    <t>Totale Generale Costi (A+B+C+D+E)</t>
  </si>
  <si>
    <t>Abzüglich aktive sanitäre Mobilität</t>
  </si>
  <si>
    <t>510.700.23</t>
  </si>
  <si>
    <t>COMPENSI PER IL PERSONALE NON SANITARIO IN COMANDO DA ALTRI ENTI</t>
  </si>
  <si>
    <t>510.800.00</t>
  </si>
  <si>
    <t>VERGÜTUNGEN FÜR DAS LEITENDE PERSONAL DER TIERÄRZTLICHEN BETREUUNG</t>
  </si>
  <si>
    <t>COMPENSI PER IL PERSONALE PREPOSTO ASSISTENZA ZOOIATRICA</t>
  </si>
  <si>
    <t>510.800.10</t>
  </si>
  <si>
    <t>520.000.00</t>
  </si>
  <si>
    <t>520</t>
  </si>
  <si>
    <t>ABSCHREIBUNGEN IMMATERIELLE ANLAGEGÜTER</t>
  </si>
  <si>
    <t>AMMORTAMENTI IMMOBILIZZAZIONI IMMATERIALI</t>
  </si>
  <si>
    <t>520.100.00</t>
  </si>
  <si>
    <t>KOSTEN FÜR EINRICHTUNG UND ERWEITERUNG - ABSCHREIBUNGEN</t>
  </si>
  <si>
    <t>COSTI DI IMPIANTO E DI AMPLIAMENTO - AMMORTAMENTI</t>
  </si>
  <si>
    <t>520.100.10</t>
  </si>
  <si>
    <t>Ammortamenti delle immobilizzazioni immateriali</t>
  </si>
  <si>
    <t>23) Ammortamenti</t>
  </si>
  <si>
    <t>B.6.a</t>
  </si>
  <si>
    <t>520.200.00</t>
  </si>
  <si>
    <t>520.200.10</t>
  </si>
  <si>
    <t>520.300.00</t>
  </si>
  <si>
    <t>PATENTRECHTE UND RECHTE ZUR NUTZUNG VON GEISTESWERKEN - ABSCHREIBUNGEN</t>
  </si>
  <si>
    <t>DIRITTI DI BREVETTO E DIRITTI DI UTILIZZAZIONE DELLE OPERE D'INGEGNO - AMMORTAMENTI</t>
  </si>
  <si>
    <t>520.300.10</t>
  </si>
  <si>
    <t>520.400.00</t>
  </si>
  <si>
    <t>KONZESSIONEN, LIZENZEN, MARKEN UND ÄHNLICHE RECHTE - ABSCHREIBUNGEN</t>
  </si>
  <si>
    <t>CONCESSIONI, LICENZE, MARCHI E DIRITTI SIMILI - AMMORTAMENTI</t>
  </si>
  <si>
    <t>520.400.10</t>
  </si>
  <si>
    <t>520.600.00</t>
  </si>
  <si>
    <t>SONSTIGES ANLAGEVERMÖGEN</t>
  </si>
  <si>
    <t>520.600.10</t>
  </si>
  <si>
    <t>525.000.00</t>
  </si>
  <si>
    <t>525</t>
  </si>
  <si>
    <t>ABSCHREIBUNGEN MATERIELLE ANLAGEGÜTER</t>
  </si>
  <si>
    <t>AMMORTAMENTI IMMOBILIZZAZIONI MATERIALI</t>
  </si>
  <si>
    <t>525.100.00</t>
  </si>
  <si>
    <t>GEBÄUDE - ABSCHREIBUNGEN</t>
  </si>
  <si>
    <t>FABBRICATI - AMMORTAMENTI</t>
  </si>
  <si>
    <t>525.100.10</t>
  </si>
  <si>
    <t>Ammortamenti fabbricati strumentali (indisponibili)</t>
  </si>
  <si>
    <t>B.6.b</t>
  </si>
  <si>
    <t>525.200.00</t>
  </si>
  <si>
    <t>MASCHINEN UND MASCHINELLE ANLAGEN - ABSCHREIBUNGEN</t>
  </si>
  <si>
    <t>IMPIANTI E MACCHINARI - AMMORTAMENTI</t>
  </si>
  <si>
    <t>525.200.10</t>
  </si>
  <si>
    <t>Ammortamenti delle altre immobilizzazioni materiali</t>
  </si>
  <si>
    <t>525.300.00</t>
  </si>
  <si>
    <t>MEDIZINISCHE GERÄTE - ABSCHREIBUNGEN</t>
  </si>
  <si>
    <t>ATTREZZATURE SANITARIE - AMMORTAMENTI</t>
  </si>
  <si>
    <t>525.300.10</t>
  </si>
  <si>
    <t>525.400.00</t>
  </si>
  <si>
    <t>EINRICHTUNG UND AUSSTATTUNG - ABSCHREIBUNGEN</t>
  </si>
  <si>
    <t>MOBILI ED ARREDI - AMMORTAMENTI</t>
  </si>
  <si>
    <t>525.400.10</t>
  </si>
  <si>
    <t>525.500.00</t>
  </si>
  <si>
    <t>KRAFTFAHRZEUGE - ABSCHREIBUNGEN</t>
  </si>
  <si>
    <t>AUTOMEZZI - AMMORTAMENTI</t>
  </si>
  <si>
    <t>525.500.10</t>
  </si>
  <si>
    <t>525.900.00</t>
  </si>
  <si>
    <t>SONSTIGE GÜTER - ABSCHREIBUNGEN</t>
  </si>
  <si>
    <t>ALTRI BENI - AMMORTAMENTI</t>
  </si>
  <si>
    <t>525.900.10</t>
  </si>
  <si>
    <t>UMSTRUKTURIERUNG UND AUSSERORDENTLICHE INSTANDHALTUNG VON GÜTERN DRITTER - ABSCHREIBUNGEN</t>
  </si>
  <si>
    <t>RISTRUTTURAZIONI E MANUTENZIONI STRAORDINARIE SU BENI DI TERZI - AMMORTAMENTI</t>
  </si>
  <si>
    <t>527.000.00</t>
  </si>
  <si>
    <t>527</t>
  </si>
  <si>
    <t>SONSTIGE ABWERTUNGEN DES ANLAGEVERMÖGENS</t>
  </si>
  <si>
    <t xml:space="preserve">ALTRE SVALUTAZIONI DELLE IMMOBILIZZAZIONI </t>
  </si>
  <si>
    <t>527.100.00</t>
  </si>
  <si>
    <t>ABWERTUNGEN DES IMMATERIELLEN ANLAGEVERMÖGENS</t>
  </si>
  <si>
    <t>SVALUTAZIONE DELLE IMMOBILIZZAZIONI IMMATERIALI</t>
  </si>
  <si>
    <t>527.100.10</t>
  </si>
  <si>
    <t>B.6.c</t>
  </si>
  <si>
    <t>527.200.00</t>
  </si>
  <si>
    <t>ABWERTUNGEN DES MATERIELLEN ANLAGEVERMÖGENS</t>
  </si>
  <si>
    <t>SVALUTAZIONE DELLE IMMOBILIZZAZIONI MATERIALI</t>
  </si>
  <si>
    <t>527.200.10</t>
  </si>
  <si>
    <t>530.000.00</t>
  </si>
  <si>
    <t>530</t>
  </si>
  <si>
    <t>95</t>
  </si>
  <si>
    <t>ACCANTONAMENTI AL FONDO RISCHI E ONERI</t>
  </si>
  <si>
    <t>Y.3</t>
  </si>
  <si>
    <t>B.9</t>
  </si>
  <si>
    <t>535.200.00</t>
  </si>
  <si>
    <t>ZUWEISUNGEN AN RÜCKSTELLUNGEN FÜR ZU LIQUIDIERENDE AUFWENDUNGEN FÜR DAS KONVENTIONIERTE PERSONAL</t>
  </si>
  <si>
    <t>ACCANTONAMENTI AL FONDO ONERI PER IL PERSONALE CONVENZIONATO DA LIQUIDARE</t>
  </si>
  <si>
    <t>535.200.10</t>
  </si>
  <si>
    <t>Altri accantonamenti per rischi</t>
  </si>
  <si>
    <t>535.350.00</t>
  </si>
  <si>
    <t>ACCANTONAMENTI AL FONDO ONERI PER LE STRUTTURE CONVENZIONATE DA LIQUIDARE</t>
  </si>
  <si>
    <t>535.350.10</t>
  </si>
  <si>
    <t>535.450.00</t>
  </si>
  <si>
    <t>ZUWEISUNGEN AN RÜCKSTELLUNGEN FÜR ERNEUERUNG DER VERTRÄGE FÜR DAS BEDIENSTETE PERSONAL</t>
  </si>
  <si>
    <t>ACCANTONAMENTI AL FONDO ONERI PER RINNOVO CONTRATTI PER IL PERSONALE DIPENDENTE</t>
  </si>
  <si>
    <t>535.450.15</t>
  </si>
  <si>
    <t>B.1.A)  Acquisti di beni sanitari</t>
  </si>
  <si>
    <t>BA0030</t>
  </si>
  <si>
    <t>B.1.A.1)  Prodotti farmaceutici ed emoderivati</t>
  </si>
  <si>
    <t>BA0040</t>
  </si>
  <si>
    <t>B.2.A.1.1) - da convenzione</t>
  </si>
  <si>
    <t>BA0050</t>
  </si>
  <si>
    <t>B.1.A.1.2) Medicinali senza AIC</t>
  </si>
  <si>
    <t>BA0060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</si>
  <si>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</si>
  <si>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</si>
  <si>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</si>
  <si>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</si>
  <si>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</si>
  <si>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</si>
  <si>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</si>
  <si>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</si>
  <si>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</si>
  <si>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</si>
  <si>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</si>
  <si>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</si>
  <si>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</si>
  <si>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</si>
  <si>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</si>
  <si>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</si>
  <si>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</si>
  <si>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</si>
  <si>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</si>
  <si>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</si>
  <si>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</si>
  <si>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</si>
  <si>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</si>
  <si>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</si>
  <si>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</si>
  <si>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</si>
  <si>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</si>
  <si>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</si>
  <si>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</si>
  <si>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</si>
  <si>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</si>
  <si>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</si>
  <si>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</si>
  <si>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</si>
  <si>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</si>
  <si>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EA0520</t>
  </si>
  <si>
    <t>EA0530</t>
  </si>
  <si>
    <t>EA0540</t>
  </si>
  <si>
    <t>EA0550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</si>
  <si>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</si>
  <si>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</si>
  <si>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</si>
  <si>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</si>
  <si>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</si>
  <si>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</si>
  <si>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</si>
  <si>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</si>
  <si>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</si>
  <si>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</si>
  <si>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</si>
  <si>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</si>
  <si>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</si>
  <si>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</si>
  <si>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</si>
  <si>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</si>
  <si>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</si>
  <si>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</si>
  <si>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</si>
  <si>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</si>
  <si>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</si>
  <si>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</si>
  <si>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</si>
  <si>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</si>
  <si>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</si>
  <si>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ZZ9999</t>
  </si>
  <si>
    <t>RISULTATO DI ESERCIZIO</t>
  </si>
  <si>
    <t>Il Funzionario responsabile dell'area economico-finanziaria</t>
  </si>
  <si>
    <t>Il Direttore Generale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</si>
  <si>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</si>
  <si>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</si>
  <si>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</si>
  <si>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</si>
  <si>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</si>
  <si>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</si>
  <si>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</si>
  <si>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</si>
  <si>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</si>
  <si>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</si>
  <si>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</si>
  <si>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</si>
  <si>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</si>
  <si>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</si>
  <si>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</si>
  <si>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</si>
  <si>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</si>
  <si>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</si>
  <si>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</si>
  <si>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</si>
  <si>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</si>
  <si>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</si>
  <si>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</si>
  <si>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</si>
  <si>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</si>
  <si>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</si>
  <si>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</si>
  <si>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</si>
  <si>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</si>
  <si>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</si>
  <si>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</si>
  <si>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</si>
  <si>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</si>
  <si>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</si>
  <si>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</si>
  <si>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</si>
  <si>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</si>
  <si>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</si>
  <si>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</si>
  <si>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</si>
  <si>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</si>
  <si>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</si>
  <si>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</si>
  <si>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</si>
  <si>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BA2600</t>
  </si>
  <si>
    <t>BA2610</t>
  </si>
  <si>
    <t>BA2620</t>
  </si>
  <si>
    <t>BA2630</t>
  </si>
  <si>
    <t>ONERI PER IL PERSONALE RELIGIOSO CONVENZIONATO</t>
  </si>
  <si>
    <t>510.250.10</t>
  </si>
  <si>
    <t>510.300.00</t>
  </si>
  <si>
    <t>ONERI PER IL PERSONALE TIROCINANTE E BORSISTA (COMPRESI ONERI RIFLESSI)</t>
  </si>
  <si>
    <t>510.300.10</t>
  </si>
  <si>
    <t>AUSGABEN FÜR AUSBILDUNGS- UND TURNUSPERSONAL (EINSCHLIESSLICH DER EINSCHLÄGIGEN LASTEN)</t>
  </si>
  <si>
    <t>510.400.00</t>
  </si>
  <si>
    <t>KOSTEN FÜR AUSBILDUNG, SPEZIALISIERUNG UND WEITERBILDUNG DES PERSONALS</t>
  </si>
  <si>
    <t>COSTI PER SERVIZI DI FORMAZIONE, SPECIALIZZAZIONE ED AGGIORNAMENTO DEL PERSONALE</t>
  </si>
  <si>
    <t>510.400.10</t>
  </si>
  <si>
    <t>Formazione (esternalizzata e non) da privato</t>
  </si>
  <si>
    <t>510.450.00</t>
  </si>
  <si>
    <t>TASCHENGELD FÜR SCHÜLER</t>
  </si>
  <si>
    <t>510.450.10</t>
  </si>
  <si>
    <t>510.500.00</t>
  </si>
  <si>
    <t xml:space="preserve">VERGÜTUNGEN FÜR FREIE LEHRTÄTIGKEIT DES BEDIENSTETEN PERSONALS </t>
  </si>
  <si>
    <t>INDENNITA' PER ATTIVITÀ DI LIBERA DOCENZA DEL PERSONALE DIPENDENTE</t>
  </si>
  <si>
    <t>510.500.10</t>
  </si>
  <si>
    <t>Formazione (esternalizzata e non) da pubblico</t>
  </si>
  <si>
    <t>510.550.00</t>
  </si>
  <si>
    <t>VERGÜTUNGEN FÜR EXTERNE LEHRKRÄFTE</t>
  </si>
  <si>
    <t>COMPENSI A DOCENTI ESTERNI</t>
  </si>
  <si>
    <t>510.550.10</t>
  </si>
  <si>
    <t>510.600.00</t>
  </si>
  <si>
    <t>VERGÜTUNGEN FÜR ÄRTZLICHE SPRENGELKOORDINATOREN</t>
  </si>
  <si>
    <t>COMPENSI A SANITARI COORDINATORI DI DISTRETTO</t>
  </si>
  <si>
    <t>510.600.10</t>
  </si>
  <si>
    <t>510.650.00</t>
  </si>
  <si>
    <t>VERGÜTUNGEN FÜR GESUNDHEITSPERSONAL MIT FUNKTION ALS SPRENGELHYGIENIKER</t>
  </si>
  <si>
    <t>COMPENSI A SANITARI CON FUNZIONE IGIENISTA DISTRETTUALE</t>
  </si>
  <si>
    <t>510.650.10</t>
  </si>
  <si>
    <t>510.700.00</t>
  </si>
  <si>
    <t>VERGÜTUNGEN FÜR DAS AN DEN BETRIEB FREIGESTELLTE PERSONAL</t>
  </si>
  <si>
    <t>510.700.12</t>
  </si>
  <si>
    <t>COMPENSI PER IL PERSONALE SANITARIO IN COMANDO DA AS EXTRA - PAB</t>
  </si>
  <si>
    <t>510.700.13</t>
  </si>
  <si>
    <t>COMPENSI PER IL PERSONALE SANITARIO IN COMANDO DA ALTRI ENTI</t>
  </si>
  <si>
    <t>da pubblico (altri soggetti pubbl. della Regione)</t>
  </si>
  <si>
    <t>340.350.20</t>
  </si>
  <si>
    <t>340.350.30</t>
  </si>
  <si>
    <t>SERVIZI DI TRASPORTO SANITARI DA PRIVATO</t>
  </si>
  <si>
    <t>da privato</t>
  </si>
  <si>
    <t>340.360.00</t>
  </si>
  <si>
    <t>360</t>
  </si>
  <si>
    <t>SERVIZI DI TRASPORTO NON SANITARI</t>
  </si>
  <si>
    <t>340.360.10</t>
  </si>
  <si>
    <t>Servizi trasporti (non sanitari)</t>
  </si>
  <si>
    <t>340.400.00</t>
  </si>
  <si>
    <t>MÜLLBESEITIGUNG UND MÜLLTRANSPORT</t>
  </si>
  <si>
    <t>SMALTIMENTO RIFIUTI E TRASPORTI DI RIFIUTI</t>
  </si>
  <si>
    <t>340.400.10</t>
  </si>
  <si>
    <t>Smaltimento rifiuti</t>
  </si>
  <si>
    <t>340.450.00</t>
  </si>
  <si>
    <t>450</t>
  </si>
  <si>
    <t>BEWACHUNG</t>
  </si>
  <si>
    <t>VIGILANZA</t>
  </si>
  <si>
    <t>340.450.10</t>
  </si>
  <si>
    <t>Altri servizi non sanitari da privato</t>
  </si>
  <si>
    <t>340.500.00</t>
  </si>
  <si>
    <t>BERATUNGEN</t>
  </si>
  <si>
    <t>CONSULENZE</t>
  </si>
  <si>
    <t>340.500.20</t>
  </si>
  <si>
    <t>340.500.40</t>
  </si>
  <si>
    <t>CONSULENZE SANITARIE DA AZIENDE SANITARIE ESTERE</t>
  </si>
  <si>
    <t>340.500.50</t>
  </si>
  <si>
    <t>CONSULENZE SANITARIE DA STRUTTURE SANITARIE PRIVATE</t>
  </si>
  <si>
    <t>720.100.21</t>
  </si>
  <si>
    <t>720.100.30</t>
  </si>
  <si>
    <t>720.100.40</t>
  </si>
  <si>
    <t>KRANKENHAUSAUFENTHALTSBEZOGENE LEISTUNGEN  FÜR AUSLÄNDISCHE SANITÄTSBETRIEBE (DIREKT VERRECHNET)</t>
  </si>
  <si>
    <t>720.100.41</t>
  </si>
  <si>
    <t>720.100.50</t>
  </si>
  <si>
    <t>PRESTAZIONI DI RICOVERO A STRUTTURE PRIVATE</t>
  </si>
  <si>
    <t>720.200.00</t>
  </si>
  <si>
    <t>350.300.00</t>
  </si>
  <si>
    <t>TELEFONGEBÜHREN</t>
  </si>
  <si>
    <t>SPESE TELEFONICHE</t>
  </si>
  <si>
    <t>350.300.10</t>
  </si>
  <si>
    <t>Utenze telefoniche</t>
  </si>
  <si>
    <t>350.400.00</t>
  </si>
  <si>
    <t>INTERNET</t>
  </si>
  <si>
    <t>350.400.10</t>
  </si>
  <si>
    <t>350.500.00</t>
  </si>
  <si>
    <t>FERNSEH- UND RUNDFUNKGEBÜHREN</t>
  </si>
  <si>
    <t>CANONI RADIOTELEVISIVI</t>
  </si>
  <si>
    <t>350.500.10</t>
  </si>
  <si>
    <t>350.600.00</t>
  </si>
  <si>
    <t>DATENBANKEN</t>
  </si>
  <si>
    <t>720.200.40</t>
  </si>
  <si>
    <t>720.200.41</t>
  </si>
  <si>
    <t>720.200.50</t>
  </si>
  <si>
    <t>720.300.00</t>
  </si>
  <si>
    <t>ERLÖSE FÜR VERWALTUNGS- UND FÜHRUNGSLEISTUNGEN</t>
  </si>
  <si>
    <t>RICAVI PER PRESTAZIONI AMMINISTRATIVE E GESTIONALI</t>
  </si>
  <si>
    <t>720.300.20</t>
  </si>
  <si>
    <t>ERLÖSE FÜR VERWALTUNGS- UND FÜHRUNGSLEISTUNGEN FÜR SANITÄTSBETRIEBE AUSSERHALB DES LANDES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</si>
  <si>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</si>
  <si>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</si>
  <si>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</si>
  <si>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</si>
  <si>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BA1370</t>
  </si>
  <si>
    <t>BA1380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</si>
  <si>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</si>
  <si>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</si>
  <si>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</si>
  <si>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</si>
  <si>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</si>
  <si>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</si>
  <si>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</si>
  <si>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</si>
  <si>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</si>
  <si>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</si>
  <si>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</si>
  <si>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</si>
  <si>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</si>
  <si>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</si>
  <si>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</si>
  <si>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</si>
  <si>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</si>
  <si>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</si>
  <si>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</si>
  <si>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</si>
  <si>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</si>
  <si>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</si>
  <si>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</si>
  <si>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</si>
  <si>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</si>
  <si>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</si>
  <si>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</si>
  <si>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</si>
  <si>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</si>
  <si>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</si>
  <si>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</si>
  <si>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</si>
  <si>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</si>
  <si>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</si>
  <si>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</si>
  <si>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BA0550</t>
  </si>
  <si>
    <t>BA0560</t>
  </si>
  <si>
    <t>BA0570</t>
  </si>
  <si>
    <t>BA0580</t>
  </si>
  <si>
    <t>BA0590</t>
  </si>
  <si>
    <t>BA0600</t>
  </si>
  <si>
    <t>BA0610</t>
  </si>
  <si>
    <t>BA0620</t>
  </si>
  <si>
    <t>BA0630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</si>
  <si>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</si>
  <si>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</si>
  <si>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</si>
  <si>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</si>
  <si>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</si>
  <si>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</si>
  <si>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</si>
  <si>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18) Prest. ricov.  n. ric. (mob. sanit. passiva)</t>
  </si>
  <si>
    <t>410.100.20</t>
  </si>
  <si>
    <t>AUFENTHALTSBEZOGENE  LEISTUNGEN VON SANITÄTSBETRIEBEN  AUSSERHALB DES LANDES (DIREKT VERRECHNET)</t>
  </si>
  <si>
    <t>410.100.21</t>
  </si>
  <si>
    <t>410.100.30</t>
  </si>
  <si>
    <t>410.100.40</t>
  </si>
  <si>
    <t>AUFENTHALTSBEZOGENE  LEISTUNGEN VON AUSLÄNDISCHEN SANITÄTSBETRIEBEN (DIREKT VERRECHNET)</t>
  </si>
  <si>
    <t>PRESTAZIONI DI RICOVERO DA AZIENDE SANITARIE ESTERE  (FATTURATE DIRETTAMENTE)</t>
  </si>
  <si>
    <t>410.100.41</t>
  </si>
  <si>
    <t>41</t>
  </si>
  <si>
    <t>410.100.50</t>
  </si>
  <si>
    <t>410.200.00</t>
  </si>
  <si>
    <t>COSTI PER PRESTAZIONI SANITARIE NON DI RICOVERO</t>
  </si>
  <si>
    <t>B.2.b</t>
  </si>
  <si>
    <t>110</t>
  </si>
  <si>
    <t>12</t>
  </si>
  <si>
    <t>13</t>
  </si>
  <si>
    <t>91</t>
  </si>
  <si>
    <t>410.200.32</t>
  </si>
  <si>
    <t>410.200.40</t>
  </si>
  <si>
    <t>PRESTAZIONI SANITARIE NON DI RICOVERO DA AZIENDE SANITARIE ESTERE (FATTURATE DIRETTAMENTE)</t>
  </si>
  <si>
    <t>410.200.41</t>
  </si>
  <si>
    <t>410.200.42</t>
  </si>
  <si>
    <t>42</t>
  </si>
  <si>
    <t>ZURVERFÜGUNGSTELLUNG VON PERSONAL VON AUSLÄNDISCHEN SANITÄTSBETRIEBEN (DIREKT VERRECHNET)</t>
  </si>
  <si>
    <t>FORNITURA DI PERSONALE DA AZIENDE SANITARIE ESTERE (FATTURATE DIRETTAMENTE)</t>
  </si>
  <si>
    <t>410.200.50</t>
  </si>
  <si>
    <t>410.200.52</t>
  </si>
  <si>
    <t>52</t>
  </si>
  <si>
    <t>FORNITURA DI PERSONALE DA STRUTTURE SANITARIE PRIVATE (FATTURATE DIRETTAMENTE)</t>
  </si>
  <si>
    <t>410.300.00</t>
  </si>
  <si>
    <t>15) Rimborsi assegni contributi B.2.i.</t>
  </si>
  <si>
    <t>B.2.i</t>
  </si>
  <si>
    <t>410.300.20</t>
  </si>
  <si>
    <t>21</t>
  </si>
  <si>
    <t>22</t>
  </si>
  <si>
    <t>23</t>
  </si>
  <si>
    <t>24</t>
  </si>
  <si>
    <t>25</t>
  </si>
  <si>
    <t>26</t>
  </si>
  <si>
    <t>27</t>
  </si>
  <si>
    <t>40</t>
  </si>
  <si>
    <t>50</t>
  </si>
  <si>
    <t>CONTRIBUTI, ASSEGNI E SUSSIDI VARI PER ASSISTENZA MEDICO GENERICA</t>
  </si>
  <si>
    <t>420.200.10</t>
  </si>
  <si>
    <t>420.210.00</t>
  </si>
  <si>
    <t>BEITRÄGE FÜR FACHÄRZTLICHE BETREUUNG</t>
  </si>
  <si>
    <t>CONTRIBUTI PER ASSISTENZA SPECIALISTICA</t>
  </si>
  <si>
    <t>420.210.10</t>
  </si>
  <si>
    <t>420.230.00</t>
  </si>
  <si>
    <t>BEITRÄGE FÜR VEREINE UND KÖRPERSCHAFTEN</t>
  </si>
  <si>
    <t>CONTRIBUTI AD ASSOCIAZIONI ED A ENTI</t>
  </si>
  <si>
    <t>420.230.10</t>
  </si>
  <si>
    <t>Contributi ad associazioni di volontariato</t>
  </si>
  <si>
    <t>420.240.00</t>
  </si>
  <si>
    <t>SONSTIGE BEITRÄGE FÜR BETREUTE</t>
  </si>
  <si>
    <t>ALTRI CONTRIBUTI AD ASSISTITI</t>
  </si>
  <si>
    <t>420.240.10</t>
  </si>
  <si>
    <t>420.300.00</t>
  </si>
  <si>
    <t>LEISTUNGSPRÄMIE PSYCHIATRISCHE PATIENTEN</t>
  </si>
  <si>
    <t>PREMIO OPEROSITA' PAZIENTI PSICHIATRICI</t>
  </si>
  <si>
    <t>420.300.10</t>
  </si>
  <si>
    <t>420.400.00</t>
  </si>
  <si>
    <t>420.400.10</t>
  </si>
  <si>
    <t>430.000.00</t>
  </si>
  <si>
    <t>430</t>
  </si>
  <si>
    <t>NUTZUNG VON GÜTERN DRITTER</t>
  </si>
  <si>
    <t>GODIMENTO BENI DI TERZI</t>
  </si>
  <si>
    <t>430.100.00</t>
  </si>
  <si>
    <t>MIETEN</t>
  </si>
  <si>
    <t>LOCAZIONI PASSIVE</t>
  </si>
  <si>
    <t>430.100.10</t>
  </si>
  <si>
    <t>LOCAZIONI PASSIVE - AREA SANITARIA</t>
  </si>
  <si>
    <t>06) Beni di terzi</t>
  </si>
  <si>
    <t>430.100.20</t>
  </si>
  <si>
    <t>SANITÄTSBETRIEB DER AUTONOMEN PROVINZ BOZEN</t>
  </si>
  <si>
    <t>AZIENDA SANITARIA DELLA PROVINCIA AUTONOMA DI BOLZANO</t>
  </si>
  <si>
    <t>PRODUKTIONSWERT</t>
  </si>
  <si>
    <t>VALORE DELLA PRODUZIONE</t>
  </si>
  <si>
    <t>Beiträge für laufende Ausgaben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</si>
  <si>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</si>
  <si>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</si>
  <si>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</si>
  <si>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</si>
  <si>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</si>
  <si>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</si>
  <si>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</si>
  <si>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</si>
  <si>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</si>
  <si>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</si>
  <si>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</si>
  <si>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</si>
  <si>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</si>
  <si>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</si>
  <si>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</si>
  <si>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</si>
  <si>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</si>
  <si>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</si>
  <si>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</si>
  <si>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</si>
  <si>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</si>
  <si>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</si>
  <si>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</si>
  <si>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</si>
  <si>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</si>
  <si>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</si>
  <si>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</si>
  <si>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</si>
  <si>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</si>
  <si>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</si>
  <si>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Nutzung von Gütern Dritter</t>
  </si>
  <si>
    <t>Godimento di beni di terzi</t>
  </si>
  <si>
    <t>Personalkosten</t>
  </si>
  <si>
    <t>Costi del personale</t>
  </si>
  <si>
    <t>Veränderungen der Restbestände</t>
  </si>
  <si>
    <t>Variazione delle rimanenze</t>
  </si>
  <si>
    <t>Rückstellungen für Risiken</t>
  </si>
  <si>
    <t>Accantonamenti per rischi</t>
  </si>
  <si>
    <t>Sonstige Rückstellungen</t>
  </si>
  <si>
    <t>FINANZERTRÄGE UND -AUFWENDUNGEN</t>
  </si>
  <si>
    <t>PROVENTI E ONERI FINANZIARI</t>
  </si>
  <si>
    <t>WERTBERICHTIGUNGEN DER FINANZAKTIVA</t>
  </si>
  <si>
    <t>RETTIFICHE DI VALORE DI ATTIVITA' FINANZIARIE</t>
  </si>
  <si>
    <t>Aufwertungen</t>
  </si>
  <si>
    <t>Abwertungen</t>
  </si>
  <si>
    <t>E)</t>
  </si>
  <si>
    <t>AUSSERORDENTLICHE ERTRÄGE UND AUFWENDUNGEN</t>
  </si>
  <si>
    <t>PROVENTI E ONERI STRAORDINARI</t>
  </si>
  <si>
    <t>UTILE (PERDITA) DELL'ESERCIZIO</t>
  </si>
  <si>
    <t>RICAVI PER PRESTAZIONI MEDICINA DEL LAVORO E MEDICINA LEGALE - PRIVATI</t>
  </si>
  <si>
    <t>720.800.00</t>
  </si>
  <si>
    <t>ERLÖSE AUS VERWALTUNGSSTRAFEN</t>
  </si>
  <si>
    <t>RICAVI PER SANZIONI AMMNISTRATIVE</t>
  </si>
  <si>
    <t>720.800.10</t>
  </si>
  <si>
    <t>Altri proventi diversi</t>
  </si>
  <si>
    <t>720.900.00</t>
  </si>
  <si>
    <t>720.900.10</t>
  </si>
  <si>
    <t>730.000.00</t>
  </si>
  <si>
    <t>730</t>
  </si>
  <si>
    <t>BETEILIGUNGEN AN KOSTEN FÜR GESUNDHEITSLEISTUNGEN</t>
  </si>
  <si>
    <t>COMPARTECIPAZIONI ALLA SPESA PER PRESTAZIONI SANITARIE</t>
  </si>
  <si>
    <t>730.100.00</t>
  </si>
  <si>
    <t>TICKET</t>
  </si>
  <si>
    <t>730.100.10</t>
  </si>
  <si>
    <t>TICKET - SPECIALISTICA AMBULATORIALE</t>
  </si>
  <si>
    <t>730.100.20</t>
  </si>
  <si>
    <t>TICKET - PRONTO SOCCORSO</t>
  </si>
  <si>
    <t>Compartecipazione alla spesa per prestazioni sanitarie - Ticket sul pronto soccorso</t>
  </si>
  <si>
    <t>730.100.30</t>
  </si>
  <si>
    <t>TICKET - SONSTIGES</t>
  </si>
  <si>
    <t>TICKET - ALTRO</t>
  </si>
  <si>
    <t>A.4.C</t>
  </si>
  <si>
    <t>740.000.00</t>
  </si>
  <si>
    <t>740</t>
  </si>
  <si>
    <t>KOSTENBEITRÄGE, RÜCKERSTATTUNG, RÜCKERLANGUNG FÜR TYPISCHE TÄTIGKEITEN</t>
  </si>
  <si>
    <t>CONCORSI, RECUPERI, RIMBORSI PER ATTIVITÀ TIPICHE</t>
  </si>
  <si>
    <t>740.100.00</t>
  </si>
  <si>
    <t>KOSTENBEITRÄGE</t>
  </si>
  <si>
    <t>CONCORSI</t>
  </si>
  <si>
    <t>740.100.10</t>
  </si>
  <si>
    <t>KOSTENBEITRÄGE VON SEITEN DES PERSONALS FÜR VERPFLEGUNG, KLEIDUNG UND UNTERKUNFT</t>
  </si>
  <si>
    <t>CONCORSI DA PARTE DEL PERSONALE NELLE SPESE PER VITTO, VESTIARIO ED ALLOGGIO</t>
  </si>
  <si>
    <t>740.200.00</t>
  </si>
  <si>
    <t>REGRESSE,  RÜCKERLANGUNGEN UND RÜCKERSTATTUNGEN</t>
  </si>
  <si>
    <t>RIVALSE, RIMBORSI E RECUPERI</t>
  </si>
  <si>
    <t>740.200.10</t>
  </si>
  <si>
    <t>RECUPERI PER AZIONI DI RIVALSA PER PRESTAZIONI SANITARIE</t>
  </si>
  <si>
    <t>740.200.35</t>
  </si>
  <si>
    <t>RÜCKERSTATTUNGEN FÜR STEMPELGEBÜHREN, REGISTERGEBÜHREN, RECHTSKOSTEN, TELEFON- UND POSTGEBÜHREN</t>
  </si>
  <si>
    <t>RECUPERO SPESE DI BOLLO, DI REGISTRAZIONE, LEGALI, TELEFONICHE E POSTALI</t>
  </si>
  <si>
    <t>740.200.50</t>
  </si>
  <si>
    <t>RÜCKZAHLUNG VON KONDOMINIUMSPESEN</t>
  </si>
  <si>
    <t>RIMBORSO SPESE CONDOMINIALI</t>
  </si>
  <si>
    <t>740.200.55</t>
  </si>
  <si>
    <t>SOZIALABGABEN - PERSONAL DES SANITÄTSSTELLENPLANS</t>
  </si>
  <si>
    <t>ONERI SOCIALI - PERSONALE RUOLO SANITARIO</t>
  </si>
  <si>
    <t>470.700.10</t>
  </si>
  <si>
    <t>470.700.20</t>
  </si>
  <si>
    <t>470.700.30</t>
  </si>
  <si>
    <t>470.700.40</t>
  </si>
  <si>
    <t>470.700.50</t>
  </si>
  <si>
    <t>470.700.60</t>
  </si>
  <si>
    <t>470.800.00</t>
  </si>
  <si>
    <t>470.800.10</t>
  </si>
  <si>
    <t>470.800.15</t>
  </si>
  <si>
    <t>470.800.20</t>
  </si>
  <si>
    <t>470.800.25</t>
  </si>
  <si>
    <t>470.800.30</t>
  </si>
  <si>
    <t>470.800.35</t>
  </si>
  <si>
    <t>35</t>
  </si>
  <si>
    <t>470.800.40</t>
  </si>
  <si>
    <t>470.800.45</t>
  </si>
  <si>
    <t>45</t>
  </si>
  <si>
    <t>470.800.50</t>
  </si>
  <si>
    <t>470.800.55</t>
  </si>
  <si>
    <t>55</t>
  </si>
  <si>
    <t>470.800.60</t>
  </si>
  <si>
    <t>480.000.00</t>
  </si>
  <si>
    <t>480</t>
  </si>
  <si>
    <t>PERSONAL DES FACHSTELLENPLANS</t>
  </si>
  <si>
    <t>PERSONALE RUOLO PROFESSIONALE</t>
  </si>
  <si>
    <t>480.100.00</t>
  </si>
  <si>
    <t>FESTE BEZÜGE - PERSONAL DES FACHSTELLENPLANS</t>
  </si>
  <si>
    <t>COMPETENZE FISSE - PERSONALE RUOLO PROFESSIONALE</t>
  </si>
  <si>
    <t>480.100.10</t>
  </si>
  <si>
    <t>480.100.20</t>
  </si>
  <si>
    <t>480.100.30</t>
  </si>
  <si>
    <t>480.100.40</t>
  </si>
  <si>
    <t>480.200.00</t>
  </si>
  <si>
    <t>ZUSÄTZLICHE BEZÜGE - PERSONAL DES FACHSTELLENPLANS</t>
  </si>
  <si>
    <t>COMPETENZE ACCESSORIE - PERSONALE RUOLO PROFESSIONALE</t>
  </si>
  <si>
    <t>480.200.10</t>
  </si>
  <si>
    <t>480.200.20</t>
  </si>
  <si>
    <t>480.300.00</t>
  </si>
  <si>
    <t>PRODUKTIVITÄTSSTEIGERUNGSPRÄMIE - PERSONAL DES FACHSTELLENPLANS</t>
  </si>
  <si>
    <t>INCENTIVI  - PERSONALE RUOLO PROFESSIONALE</t>
  </si>
  <si>
    <t>480.300.10</t>
  </si>
  <si>
    <t>480.300.20</t>
  </si>
  <si>
    <t>480.600.00</t>
  </si>
  <si>
    <t>480.700.25</t>
  </si>
  <si>
    <t>480.700.30</t>
  </si>
  <si>
    <t>480.700.35</t>
  </si>
  <si>
    <t>480.700.40</t>
  </si>
  <si>
    <t>480.700.45</t>
  </si>
  <si>
    <t>480.700.60</t>
  </si>
  <si>
    <t>480.700.65</t>
  </si>
  <si>
    <t>S</t>
  </si>
  <si>
    <t>AA0460</t>
  </si>
  <si>
    <t>A.4.A.3.1) Prestazioni di ricovero</t>
  </si>
  <si>
    <t>AA0470</t>
  </si>
  <si>
    <t>A.4.A.3.2) Prestazioni ambulatoriali</t>
  </si>
  <si>
    <t>SS</t>
  </si>
  <si>
    <t>AA0480</t>
  </si>
  <si>
    <t>AA0490</t>
  </si>
  <si>
    <t>AA0500</t>
  </si>
  <si>
    <t>AA0510</t>
  </si>
  <si>
    <t>AA0520</t>
  </si>
  <si>
    <t>AA0530</t>
  </si>
  <si>
    <t>AA0550</t>
  </si>
  <si>
    <t>AA0560</t>
  </si>
  <si>
    <t>AA0570</t>
  </si>
  <si>
    <t>AA0580</t>
  </si>
  <si>
    <t>AA0590</t>
  </si>
  <si>
    <t>500.100.20</t>
  </si>
  <si>
    <t>500.100.30</t>
  </si>
  <si>
    <t>500.100.40</t>
  </si>
  <si>
    <t>500.200.00</t>
  </si>
  <si>
    <t>ZUSÄTZLICHE BEZÜGE - PERSONAL DES VERWALTUNGSSTELLENPLANS</t>
  </si>
  <si>
    <t>COMPETENZE ACCESSORIE - PERSONALE RUOLO AMMINISTRATIVO</t>
  </si>
  <si>
    <t>500.200.10</t>
  </si>
  <si>
    <t>500.200.20</t>
  </si>
  <si>
    <t>500.300.00</t>
  </si>
  <si>
    <t>PRODUKTIVITÄTSSTEIGERUNGSPRÄMIE - PERSONAL DES VERWALTUNGSSTELLENPLANS</t>
  </si>
  <si>
    <t>INCENTIVI - PERSONALE RUOLO AMMINISTRATIVO</t>
  </si>
  <si>
    <t>500.300.10</t>
  </si>
  <si>
    <t>500.300.20</t>
  </si>
  <si>
    <t>500.600.00</t>
  </si>
  <si>
    <t>SOZIALABGABEN - PERSONAL DES VERWALTUNGSSTELLENPLANS</t>
  </si>
  <si>
    <t>ONERI SOCIALI - PERSONALE RUOLO AMMINISTRATIVO</t>
  </si>
  <si>
    <t>500.600.10</t>
  </si>
  <si>
    <t>500.600.20</t>
  </si>
  <si>
    <t>500.600.30</t>
  </si>
  <si>
    <t>500.600.40</t>
  </si>
  <si>
    <t>500.700.00</t>
  </si>
  <si>
    <t>500.700.10</t>
  </si>
  <si>
    <t>500.700.15</t>
  </si>
  <si>
    <t>500.700.20</t>
  </si>
  <si>
    <t>EA0080</t>
  </si>
  <si>
    <t>EA0090</t>
  </si>
  <si>
    <t>EA0100</t>
  </si>
  <si>
    <t>EA0110</t>
  </si>
  <si>
    <t>EA0120</t>
  </si>
  <si>
    <t>EA0130</t>
  </si>
  <si>
    <t>EA0140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</si>
  <si>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</si>
  <si>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</si>
  <si>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</si>
  <si>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</si>
  <si>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</si>
  <si>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</si>
  <si>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</si>
  <si>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</si>
  <si>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</si>
  <si>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</si>
  <si>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KOORDINIERTE UND KONTINUIERLICHE ZUSAMMENARBEIT</t>
  </si>
  <si>
    <t>COLLABORAZIONI COORDINATE E CONTINUATIVE (CO.CO.CO)</t>
  </si>
  <si>
    <t>510.160.10</t>
  </si>
  <si>
    <t>COLLABORAZIONI COORDINATE E CONTINUATIVE (CO.CO.CO) SANITARIE</t>
  </si>
  <si>
    <t>Collaborazioni coordinate e continuative sanitarie e socios. da privato</t>
  </si>
  <si>
    <t>510.160.15</t>
  </si>
  <si>
    <t>COLLABORAZIONI COORDINATE E CONTINUATIVE (CO.CO.CO) SANITARIE - ONERI SOCIALI</t>
  </si>
  <si>
    <t>510.160.20</t>
  </si>
  <si>
    <t>COLLABORAZIONI COORDINATE E CONTINUATIVE (CO.CO.CO) NON SANITARIE</t>
  </si>
  <si>
    <t>Collaborazioni coordinate e continuative non sanitarie da privato</t>
  </si>
  <si>
    <t>510.160.25</t>
  </si>
  <si>
    <t>COLLABORAZIONI COORDINATE E CONTINUATIVE (CO.CO.CO) NON SANITARIE - ONERI SOCIALI</t>
  </si>
  <si>
    <t>510.250.00</t>
  </si>
  <si>
    <t>AUSGABEN FÜR GEISTLICHES VERTRAGSPERSONAL</t>
  </si>
  <si>
    <t>Beteiligung an den Ausgaben für Gesundheitsleistungen (Ticket)</t>
  </si>
  <si>
    <t>Anteil der dem Geschäftsjahr zugerechneten Investitionsbeiträge</t>
  </si>
  <si>
    <t>Zuwachs des Anlagevermögens durch innerbetriebliche Arbeiten</t>
  </si>
  <si>
    <t>Sonstige Erlöse und Erträge</t>
  </si>
  <si>
    <t>Summe A)</t>
  </si>
  <si>
    <t>Einkäufe von sanitären Gütern</t>
  </si>
  <si>
    <t>Einkäufe von nicht sanitären Gütern</t>
  </si>
  <si>
    <t>Einkäufe von sanitären Leistungen</t>
  </si>
  <si>
    <t>Einkäufe von sanitären Leistungen - Basismedizin</t>
  </si>
  <si>
    <t>Einkäufe von sanitären Leistungen - pharmazeutische Betreuung</t>
  </si>
  <si>
    <t>Einkäufe von sanitären Leistungen für ambulatorische fachärztliche Betreuung</t>
  </si>
  <si>
    <t>Einkäufe von sanitären Leistungen für Rehabilitationsbetreuung</t>
  </si>
  <si>
    <t>Einkäufe von sanitären Leistungen für ergänzende Betreuung</t>
  </si>
  <si>
    <t>Einkäufe von sanitären Leistungen für prothesische Betreuung</t>
  </si>
  <si>
    <t>Einkäufe von sanitären Leistungen für Krankenhausbetreuung</t>
  </si>
  <si>
    <t>Einkäufe von stationären und teilstationären psychiatrischen Leistungen</t>
  </si>
  <si>
    <t>Einkäufe von Leistungen für die Verteilung von Medikamenten im Rahmen von File F</t>
  </si>
  <si>
    <t>Einkäufe von vertragsgebundenen Thermalleistungen</t>
  </si>
  <si>
    <t>Einkäufe von sanitären Transportleistungen</t>
  </si>
  <si>
    <t>Einkäufe von soziosanitären Leistungen von sanitärer Relevanz</t>
  </si>
  <si>
    <t>Beteiligungen an das Personal für freiberufliche Leistungen (Intramoenia)</t>
  </si>
  <si>
    <t>Sanitäre Rückerstattungen, Zuweisungen und Beiträge</t>
  </si>
  <si>
    <t>Beratungen, Zusammenarbeiten, Zeitarbeit, andere sanitäre und soziosanitäre Arbeitsleistungen</t>
  </si>
  <si>
    <t>Sonstige sanitäre und soziosanitäre Dienstleistungen von sanitärer Relevanz</t>
  </si>
  <si>
    <t>Kosten aufgrund der Tarifunterschiede zum Einheitstarif "TUC"</t>
  </si>
  <si>
    <t>Einkäufe von nicht sanitären Leistungen</t>
  </si>
  <si>
    <t>Nicht sanitäre Leistungen</t>
  </si>
  <si>
    <t>Beratungen, Zusammenarbeiten, Zeitarbeit, andere nicht sanitäre Arbeitsleistungen</t>
  </si>
  <si>
    <t>Ausbildung</t>
  </si>
  <si>
    <t>Instandhaltung und Reparaturen</t>
  </si>
  <si>
    <t>Leitendes ärztliches Personal</t>
  </si>
  <si>
    <t>Leitendes nicht ärztliches Personal des Sanitätsstellenplans</t>
  </si>
  <si>
    <t>70</t>
  </si>
  <si>
    <t>80</t>
  </si>
  <si>
    <t>RINNOVO CONTRATTI DIRIGENZA MEDICA - RUOLO SANITARIO</t>
  </si>
  <si>
    <t>21) Accantonamento nuovi contratti pers. dip.</t>
  </si>
  <si>
    <t>535.450.20</t>
  </si>
  <si>
    <t>RINNOVO CONTRATTI DIRIGENZA NON MEDICA - RUOLO SANITARIO</t>
  </si>
  <si>
    <t>535.450.25</t>
  </si>
  <si>
    <t>RINNOVO CONTRATTI COMPARTO - RUOLO SANITARIO</t>
  </si>
  <si>
    <t>535.450.30</t>
  </si>
  <si>
    <t>ERNEUERUNG DER VERTRÄGE -LEITENDES FACHPERSONAL</t>
  </si>
  <si>
    <t xml:space="preserve">RINNOVO CONTRATTI DIRIGENZA - RUOLO PROFESSIONALE </t>
  </si>
  <si>
    <t>535.450.35</t>
  </si>
  <si>
    <t>ERNEUERUNG DER VERTRÄGE - NICHT-LEITENDES FACHPERSONAL</t>
  </si>
  <si>
    <t>RINNOVO CONTRATTI COMPARTO - RUOLO PROFESSIONALE</t>
  </si>
  <si>
    <t>535.450.40</t>
  </si>
  <si>
    <t>ERNEUERUNG DER VERTRÄGE - LEITENDES TECHNISCHES PERSONAL</t>
  </si>
  <si>
    <t>RINNOVO CONTRATTI DIRIGENZA - RUOLO TECNICO</t>
  </si>
  <si>
    <t>535.450.45</t>
  </si>
  <si>
    <t>ERNEUERUNG DER VERTRÄGE - NICHT-LEITENDES TECHNISCHES PERSONAL</t>
  </si>
  <si>
    <t>RINNOVO CONTRATTI COMPARTO - RUOLO TECNICO</t>
  </si>
  <si>
    <t>535.450.50</t>
  </si>
  <si>
    <t>ERNEUERUNG DER VERTRÄGE - LEITENDES VERWALTUNGSPERSONAL</t>
  </si>
  <si>
    <t>RINNOVO CONTRATTI DIRIGENZA - RUOLO AMMINISTRATIVO</t>
  </si>
  <si>
    <t>535.450.55</t>
  </si>
  <si>
    <t>ERNEUERUNG DER VERTRÄGE - NICHT-LEITENDES VERWALTUNGSPERSONAL</t>
  </si>
  <si>
    <t>RINNOVO CONTRATTI COMPARTO - RUOLO AMMINISTRATIVO</t>
  </si>
  <si>
    <t>535.500.00</t>
  </si>
  <si>
    <t>535.500.10</t>
  </si>
  <si>
    <t>535.600.00</t>
  </si>
  <si>
    <t>ZUWEISUNGEN AN RÜCKSTELLUNGEN FÜR DAS PERSONAL IM RUHESTAND</t>
  </si>
  <si>
    <t>ACCANTONAMENTI AL FONDO PER IL PERSONALE DIPENDENTE IN QUIESCENZA</t>
  </si>
  <si>
    <t>535.600.10</t>
  </si>
  <si>
    <t>535.650.00</t>
  </si>
  <si>
    <t>ZUWEISUNGEN AN RÜCKSTELLUNGEN FÜR ANGLEICHUNGEN DER TARIFVERZEICHNISSE UND FÜR DIE ERNEUERUNGEN VON KONVENTIONEN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</si>
  <si>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</si>
  <si>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</si>
  <si>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</si>
  <si>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</si>
  <si>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</si>
  <si>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</si>
  <si>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</si>
  <si>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</si>
  <si>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</si>
  <si>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</si>
  <si>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</si>
  <si>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</si>
  <si>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</si>
  <si>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</si>
  <si>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</si>
  <si>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</si>
  <si>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</si>
  <si>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</si>
  <si>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</si>
  <si>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</si>
  <si>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</si>
  <si>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</si>
  <si>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</si>
  <si>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</si>
  <si>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</si>
  <si>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</si>
  <si>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</si>
  <si>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</si>
  <si>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VERZUGSZINSEN</t>
  </si>
  <si>
    <t>INTERESSI DI MORA</t>
  </si>
  <si>
    <t>550.400.10</t>
  </si>
  <si>
    <t>550.500.00</t>
  </si>
  <si>
    <t>ANDERE PASSIVZINSEN</t>
  </si>
  <si>
    <t>ALTRI INTERESSI PASSIVI</t>
  </si>
  <si>
    <t>550.500.10</t>
  </si>
  <si>
    <t>550.900.00</t>
  </si>
  <si>
    <t>ANDERE FINANZAUFWÄNDE</t>
  </si>
  <si>
    <t>550.900.10</t>
  </si>
  <si>
    <t>ALTRI ONERI FINANZIARI</t>
  </si>
  <si>
    <t>Altri oneri finanziari</t>
  </si>
  <si>
    <t>560.000.00</t>
  </si>
  <si>
    <t>560</t>
  </si>
  <si>
    <t>AUSSERORDENTLICHE AUFWÄNDE</t>
  </si>
  <si>
    <t>SOPRAVVENIENZE PASSIVE</t>
  </si>
  <si>
    <t>560.100.00</t>
  </si>
  <si>
    <t>E.2.B.3.2.G</t>
  </si>
  <si>
    <t>Altre sopravvenienze passive v/terzi</t>
  </si>
  <si>
    <t>28.5) (minus) Oneri straordinari (al netto proventi)</t>
  </si>
  <si>
    <t>E.2.b</t>
  </si>
  <si>
    <t>560.100.20</t>
  </si>
  <si>
    <t>PASSIVRUNDUNGEN</t>
  </si>
  <si>
    <t>ARROTONDAMENTI PASSIVI</t>
  </si>
  <si>
    <t>Altri oneri straordinari</t>
  </si>
  <si>
    <t>560.100.30</t>
  </si>
  <si>
    <t>PREISNACHLÄSSE UND VERGÜNSTIGUNGEN</t>
  </si>
  <si>
    <t>560.200.00</t>
  </si>
  <si>
    <t>INSUSSISTENZE DELL'ATTIVO</t>
  </si>
  <si>
    <t>560.300.00</t>
  </si>
  <si>
    <t>DIFFERENZE PASSIVE DI CAMBIO</t>
  </si>
  <si>
    <t>560.300.10</t>
  </si>
  <si>
    <t>DIFFERENZE PASSIVE DI CAMBIO REALIZZATE</t>
  </si>
  <si>
    <t>Perdite su cambi</t>
  </si>
  <si>
    <t>560.300.20</t>
  </si>
  <si>
    <t>DIFFERENZE PASSIVE DI CAMBIO NON REALIZZATE</t>
  </si>
  <si>
    <t>570.000.00</t>
  </si>
  <si>
    <t>570</t>
  </si>
  <si>
    <t>ABWERTUNGEN FÜR WERTBERICHTIGUNGEN VON FINANZAKTIVA</t>
  </si>
  <si>
    <t>SVALUTAZIONI PER RETTIFICHE DI VALORE DI ATTIVITÀ FINANZIARIA</t>
  </si>
  <si>
    <t>570.100.00</t>
  </si>
  <si>
    <t>570.100.10</t>
  </si>
  <si>
    <t>Svalutazioni</t>
  </si>
  <si>
    <t>D.2</t>
  </si>
  <si>
    <t>570.100.20</t>
  </si>
  <si>
    <t>ABWERTUNGEN FÜR BETEILIGUNGEN AUS DEM UMLAUFVERMÖGEN</t>
  </si>
  <si>
    <t>SVALUTAZIONE PARTECIPAZIONI ATTIVO CIRCOLANTE</t>
  </si>
  <si>
    <t>570.100.30</t>
  </si>
  <si>
    <t>ABWERTUNGEN FÜR WERTPAPIERE AUS DEM UMLAUFVERMÖGEN</t>
  </si>
  <si>
    <t>SVALUTAZIONE TITOLI ATTIVO CIRCOLANTE</t>
  </si>
  <si>
    <t>570.100.40</t>
  </si>
  <si>
    <t>ABWERTUNGEN FÜR BETEILIGUNGEN AUS DEM ANLAGEVERMÖGEN</t>
  </si>
  <si>
    <t>SVALUTAZIONE PARTECIPAZIONI IMMOBILIZZATE</t>
  </si>
  <si>
    <t>570.100.50</t>
  </si>
  <si>
    <t>ABWERTUNGEN FÜR WERTPAPIERE AUS DEM ANLAGEVERMÖGEN</t>
  </si>
  <si>
    <t>SVALUTAZIONE TITOLI IMMOBILIZZATI</t>
  </si>
  <si>
    <t>580.000.00</t>
  </si>
  <si>
    <t>580</t>
  </si>
  <si>
    <t>VERÄUSSERUNGSVERLUSTE</t>
  </si>
  <si>
    <t>MINUSVALENZE</t>
  </si>
  <si>
    <t>580.100.00</t>
  </si>
  <si>
    <t>580.100.10</t>
  </si>
  <si>
    <t>E.2.A</t>
  </si>
  <si>
    <t>Minusvalenze</t>
  </si>
  <si>
    <t>580.200.00</t>
  </si>
  <si>
    <t>580.200.10</t>
  </si>
  <si>
    <t>E.2.a</t>
  </si>
  <si>
    <t>590.000.00</t>
  </si>
  <si>
    <t>590</t>
  </si>
  <si>
    <t>STEUERN UND GEBÜHREN</t>
  </si>
  <si>
    <t>IMPOSTE E TASSE</t>
  </si>
  <si>
    <t>590.100.00</t>
  </si>
  <si>
    <t>IRES</t>
  </si>
  <si>
    <t>590.100.10</t>
  </si>
  <si>
    <t>IRES AUF INSTITUTIONELLE TÄTIGKEIT</t>
  </si>
  <si>
    <t>IRES SU ATTIVITA' ISTITUZIONALE</t>
  </si>
  <si>
    <t>Y.2.A</t>
  </si>
  <si>
    <t>IRES su attività istituzionale</t>
  </si>
  <si>
    <t>30) IRPEG/IRES</t>
  </si>
  <si>
    <t>590.100.20</t>
  </si>
  <si>
    <t>IRES AUF WIRTSCHAFTLICHE TÄTIGKEIT</t>
  </si>
  <si>
    <t>IRES SU ATTIVITA' COMMERCIALE</t>
  </si>
  <si>
    <t>Y.2.B</t>
  </si>
  <si>
    <t>IRES su attività commerciale</t>
  </si>
  <si>
    <t>590.200.00</t>
  </si>
  <si>
    <t>WERTSCHÖPFUNGSSTEUER</t>
  </si>
  <si>
    <t>IRAP</t>
  </si>
  <si>
    <t>590.200.10</t>
  </si>
  <si>
    <t>voce</t>
  </si>
  <si>
    <t>1.) Kosten  inklusive passive Mobilität</t>
  </si>
  <si>
    <t>1.) costi compresa mobilità passiva</t>
  </si>
  <si>
    <t>davon außerordentliche Aufwände</t>
  </si>
  <si>
    <t>di cui oneri straordinari</t>
  </si>
  <si>
    <t>2.) Finanzierung</t>
  </si>
  <si>
    <t>2.) finanziamento</t>
  </si>
  <si>
    <t>a) Mittel aus Gewinnvorträgen</t>
  </si>
  <si>
    <t>a) riserve da riporto utili</t>
  </si>
  <si>
    <t>b) Eigenmittel (Ticket u.s.w.)</t>
  </si>
  <si>
    <t>b) entrate proprie (ticket ecc.)</t>
  </si>
  <si>
    <t>c) Finanzerträge</t>
  </si>
  <si>
    <t>c) proventi finanziari</t>
  </si>
  <si>
    <t>d) Mittel aus dem LHH</t>
  </si>
  <si>
    <t>d) fondi dal bilancio provinciale</t>
  </si>
  <si>
    <t>e) Sterilisierungen</t>
  </si>
  <si>
    <t>e) sterilizzazioni</t>
  </si>
  <si>
    <t>f) Aktive Mobilität</t>
  </si>
  <si>
    <t>f) mobilità attiva</t>
  </si>
  <si>
    <t>g) außerordentliche Erträge</t>
  </si>
  <si>
    <t>g) proventi straordinari</t>
  </si>
  <si>
    <t>IRAP relativa ad attività di libera professione (intramoenia)</t>
  </si>
  <si>
    <t>590.210.00</t>
  </si>
  <si>
    <t>VORAUSGEZAHLTE STEUERN</t>
  </si>
  <si>
    <t>IMPOSTE ANTICIPATE</t>
  </si>
  <si>
    <t>590.210.10</t>
  </si>
  <si>
    <t>590.220.00</t>
  </si>
  <si>
    <t>AUFGESCHOBENE STEUERN</t>
  </si>
  <si>
    <t>IMPOSTE DIFFERITE</t>
  </si>
  <si>
    <t>590.220.10</t>
  </si>
  <si>
    <t>ZUWEISUNGEN AN RÜCKSTELLUNG FÜR AUFGESCHOBENE STEUERN</t>
  </si>
  <si>
    <t>ACCANTONAMENTO AL FONDO IMPOSTE DIFFERITE</t>
  </si>
  <si>
    <t>590.300.00</t>
  </si>
  <si>
    <t>REGISTERGEBÜHREN - STEMPELSTEUERN</t>
  </si>
  <si>
    <t xml:space="preserve">IMPOSTE DI REGISTRO - IMPOSTE DI BOLLO </t>
  </si>
  <si>
    <t>590.300.10</t>
  </si>
  <si>
    <t>590.400.00</t>
  </si>
  <si>
    <t>GEMEINDESTEUERN UND -GEBÜHREN</t>
  </si>
  <si>
    <t>IMPOSTE E TASSE COMUNALI</t>
  </si>
  <si>
    <t>590.400.10</t>
  </si>
  <si>
    <t>TASSA COMUNALE SMALTIMENTO RIFIUTI</t>
  </si>
  <si>
    <t>590.500.00</t>
  </si>
  <si>
    <t>KRAFTFAHRZEUGSTEUER</t>
  </si>
  <si>
    <t>TASSE DI CIRCOLAZIONE AUTOMEZZI</t>
  </si>
  <si>
    <t>590.500.10</t>
  </si>
  <si>
    <t>590.600.00</t>
  </si>
  <si>
    <t>590.600.10</t>
  </si>
  <si>
    <t>590.900.00</t>
  </si>
  <si>
    <t>VERSCHIEDENE STEUERN UND GEBÜHREN</t>
  </si>
  <si>
    <t>IMPOSTE E TASSE DIVERSE</t>
  </si>
  <si>
    <t>590.900.10</t>
  </si>
  <si>
    <t>600.000.00</t>
  </si>
  <si>
    <t>VERÄNDERUNGEN DER RESTBESTÄNDE (ANFANGSBESTÄNDE - ENDBESTÄNDE)</t>
  </si>
  <si>
    <t>VARIAZIONE DELLE RIMANENZE  (RIM. INIZ. - RIM. FIN.)</t>
  </si>
  <si>
    <t>600.100.00</t>
  </si>
  <si>
    <t>VARIAZIONE DELLE SCORTE SANITARIE</t>
  </si>
  <si>
    <t>600.100.10</t>
  </si>
  <si>
    <t>600.200.00</t>
  </si>
  <si>
    <t>VARIAZIONE DELLE SCORTE NON SANITARIE</t>
  </si>
  <si>
    <t>600.200.10</t>
  </si>
  <si>
    <t>MATERIAL UND ZUBEHÖR FÜR INSTANDHALTUNG VON MEDIZINISCHEN GERÄTEN</t>
  </si>
  <si>
    <t>MATERIALI ED ACCESSORI PER MANUTENZIONE DI ATTREZZATURE SANITARIE</t>
  </si>
  <si>
    <t>320.200.10</t>
  </si>
  <si>
    <t>320.300.00</t>
  </si>
  <si>
    <t>MATERIAL UND ZUBEHÖR FÜR INSTANDHALTUNG VON GÜTERN DES ÖKONOMAT UND SONSTIGEN GÜTERN</t>
  </si>
  <si>
    <t>MATERIALI ED ACCESSORI PER MANUTENZIONE DI ATTREZZATURE ECONOMALI ED ALTRI BENI</t>
  </si>
  <si>
    <t>320.300.10</t>
  </si>
  <si>
    <t>320.400.00</t>
  </si>
  <si>
    <t>MATERIAL UND ZUBEHÖR FÜR INSTANDHALTUNG VON FAHRZEUGEN</t>
  </si>
  <si>
    <t>320.400.10</t>
  </si>
  <si>
    <t>330.000.00</t>
  </si>
  <si>
    <t>330</t>
  </si>
  <si>
    <t>330.100.00</t>
  </si>
  <si>
    <t>DIENSTLEISTUNGEN FÜR INSTANDHALTUNG VON UNBEWEGLICHEN GÜTERN</t>
  </si>
  <si>
    <t>SERVIZI PER MANUTENZIONE DI IMMOBILI</t>
  </si>
  <si>
    <t>330.100.10</t>
  </si>
  <si>
    <t>B.3.A</t>
  </si>
  <si>
    <t>04) Manutenzioni</t>
  </si>
  <si>
    <t>B.2.g</t>
  </si>
  <si>
    <t>330.200.00</t>
  </si>
  <si>
    <t>DIENSTLEISTUNGEN FÜR INSTANDHALTUNG VON MEDIZINISCHEN GERÄTEN</t>
  </si>
  <si>
    <t>SERVIZI PER MANUTENZIONE DI ATTREZZATURE SANITARIE</t>
  </si>
  <si>
    <t>330.200.10</t>
  </si>
  <si>
    <t>B.3.C</t>
  </si>
  <si>
    <t>330.300.00</t>
  </si>
  <si>
    <t>DIENSTLEISTUNGEN FÜR INSTANDHALTUNG VON GERÄTEN DES ÖKONOMATS</t>
  </si>
  <si>
    <t>SERVIZI PER MANUTENZIONE DI ATTREZZATURE ECONOMALI ED ALTRI BENI</t>
  </si>
  <si>
    <t>330.300.10</t>
  </si>
  <si>
    <t>DIENSTLEISTUNGEN FÜR INSTANDHALTUNG VON SOFTWARE</t>
  </si>
  <si>
    <t>SERVIZI PER MANUTENZIONE DI SOFTWARE</t>
  </si>
  <si>
    <t>330.300.90</t>
  </si>
  <si>
    <t>DIENSTLEISTUNGEN FÜR INSTANDHALTUNG VON ÖKONOMATS- UND SONSTIGEN GÜTERN</t>
  </si>
  <si>
    <t>SERVIZI PER MANUTENZIONE DI ATTREZZATURE ECONOMALE ED ALTRI BENI</t>
  </si>
  <si>
    <t>330.400.00</t>
  </si>
  <si>
    <t>DIENSTLEISTUNGEN FÜR INSTANDHALTUNG VON FAHRZEUGEN</t>
  </si>
  <si>
    <t>SERVIZI PER MANUTENZIONE AUTOMEZZI</t>
  </si>
  <si>
    <t>330.400.10</t>
  </si>
  <si>
    <t>340.000.00</t>
  </si>
  <si>
    <t>340</t>
  </si>
  <si>
    <t>ERWERB VON IN AUFTRAG GEGEBENEN DIENSTLEISTUNGEN</t>
  </si>
  <si>
    <t>ACQUISTI DI SERVIZI APPALTATI</t>
  </si>
  <si>
    <t>340.100.00</t>
  </si>
  <si>
    <t>WÄSCHEREI</t>
  </si>
  <si>
    <t>LAVANDERIA</t>
  </si>
  <si>
    <t>340.100.10</t>
  </si>
  <si>
    <t>B.2.B.1.1</t>
  </si>
  <si>
    <t>Lavanderia</t>
  </si>
  <si>
    <t>03) Servizia appaltati</t>
  </si>
  <si>
    <t>B.2.f</t>
  </si>
  <si>
    <t>340.150.00</t>
  </si>
  <si>
    <t>REINIGUNG</t>
  </si>
  <si>
    <t>PULIZIA</t>
  </si>
  <si>
    <t>340.150.10</t>
  </si>
  <si>
    <t>Pulizia</t>
  </si>
  <si>
    <t>340.200.00</t>
  </si>
  <si>
    <t>MENSA</t>
  </si>
  <si>
    <t>340.200.10</t>
  </si>
  <si>
    <t>340.250.00</t>
  </si>
  <si>
    <t xml:space="preserve">HEIZUNG </t>
  </si>
  <si>
    <t>RISCALDAMENTO</t>
  </si>
  <si>
    <t>340.250.10</t>
  </si>
  <si>
    <t>Riscaldamento</t>
  </si>
  <si>
    <t>340.300.00</t>
  </si>
  <si>
    <t>DIENSTLEISTUNGEN ZUR DATENVERARBEITUNG</t>
  </si>
  <si>
    <t>SERVIZI DI ELABORAZIONE DATI</t>
  </si>
  <si>
    <t>340.300.10</t>
  </si>
  <si>
    <t>B.2.B.1.5</t>
  </si>
  <si>
    <t>340.350.00</t>
  </si>
  <si>
    <t>SERVIZI DI TRASPORTO SANITARI</t>
  </si>
  <si>
    <t>340.350.10</t>
  </si>
  <si>
    <t>340.500.60</t>
  </si>
  <si>
    <t>ALTRE CONSULENZE SANITARIE</t>
  </si>
  <si>
    <t>340.500.80</t>
  </si>
  <si>
    <t>BERATUNGEN IN DEN BEREICHEN TECHNIK, STEUER UND VERWALTUNG VON SANITÄTSBETRIEBEN AUSSERHALB DES LANDES</t>
  </si>
  <si>
    <t>CONSULENZE TECNICHE, FISCALI ED AMMINISTRATIVE DA PARTE DELLE AZIENDE SANITARIE EXTRA PAB</t>
  </si>
  <si>
    <t>340.500.90</t>
  </si>
  <si>
    <t>ANDERE BERATUNGEN IN DEN BEREICHEN TECHNIK, STEUER UND VERWALTUNG</t>
  </si>
  <si>
    <t>ALTRE CONSULENZE TECNICHE, FISCALI ED AMMINISTRATIVE</t>
  </si>
  <si>
    <t>Consulenze non sanitarie da privato</t>
  </si>
  <si>
    <t>340.900.00</t>
  </si>
  <si>
    <t>ALTRI SERVIZI RESI DA PRIVATI, DA ASSOCIAZIONI E DA ENTI PUBBLICI</t>
  </si>
  <si>
    <t>340.900.10</t>
  </si>
  <si>
    <t>340.900.20</t>
  </si>
  <si>
    <t>FAMILIENUNTERSTÜTZUNGSMASSNAHMEN (FÜHRUNG VON KINDERHORTEN)</t>
  </si>
  <si>
    <t>INIZIATIVE DI SOSTEGNO ALLA FAMIGLIA (GESTIONE ASILI NIDO)</t>
  </si>
  <si>
    <t>340.900.30</t>
  </si>
  <si>
    <t>FAMILIENBERATUNGSSTELLEN</t>
  </si>
  <si>
    <t>CONSULTORI FAMILIARI</t>
  </si>
  <si>
    <t>Altri servizi sanitari da privato</t>
  </si>
  <si>
    <t>340.900.40</t>
  </si>
  <si>
    <t>SERVIZIO PER LA MESSA A DISPOSIZIONE DI PERSONALE SANITARIO</t>
  </si>
  <si>
    <t>350.000.00</t>
  </si>
  <si>
    <t>GEBÜHREN</t>
  </si>
  <si>
    <t>UTENZE</t>
  </si>
  <si>
    <t>350.100.00</t>
  </si>
  <si>
    <t>ELEKTRISCHE ENERGIE</t>
  </si>
  <si>
    <t>ENERGIA ELETTRICA</t>
  </si>
  <si>
    <t>350.100.10</t>
  </si>
  <si>
    <t>Utenze elettricità</t>
  </si>
  <si>
    <t>05) Utenze</t>
  </si>
  <si>
    <t>B.2.h</t>
  </si>
  <si>
    <t>350.200.00</t>
  </si>
  <si>
    <t>TRINK- UND ABWASSER</t>
  </si>
  <si>
    <t>ACQUA POTABILE E DI RIFIUTO</t>
  </si>
  <si>
    <t>350.200.10</t>
  </si>
  <si>
    <t>Altre utenze</t>
  </si>
  <si>
    <t>BANCHE DATI</t>
  </si>
  <si>
    <t>350.600.10</t>
  </si>
  <si>
    <t>350.900.00</t>
  </si>
  <si>
    <t>VERSCHIEDENE GEBÜHREN</t>
  </si>
  <si>
    <t>UTENZE VARIE</t>
  </si>
  <si>
    <t>350.900.10</t>
  </si>
  <si>
    <t>360.000.00</t>
  </si>
  <si>
    <t>360.100.00</t>
  </si>
  <si>
    <t>KONVENTIONEN FÜR ALLGEMEIN-ÄRZTLICHE BETREUUNG</t>
  </si>
  <si>
    <t>CONVENZIONI PER ASSISTENZA MEDICO GENERICA</t>
  </si>
  <si>
    <t>360.100.10</t>
  </si>
  <si>
    <t>VERGÜTUNGEN - KONVENTIONEN FÜR ALLGEMEIN-ÄRZTLICHE BETREUUNG</t>
  </si>
  <si>
    <t>COMPENSI - ASSISTENZA MEDICO GENERICA</t>
  </si>
  <si>
    <t>B.2.A.1.1.A</t>
  </si>
  <si>
    <t xml:space="preserve">10) Assistenza sanitaria di base </t>
  </si>
  <si>
    <t>B.2.d</t>
  </si>
  <si>
    <t>360.100.20</t>
  </si>
  <si>
    <t>SOZIALABGABEN - KONVENTIONEN FÜR ALLGEMEIN-ÄRZTLICHE BETREUUNG</t>
  </si>
  <si>
    <t>ONERI SOCIALI - ASSISTENZA MEDICO GENERICA</t>
  </si>
  <si>
    <t>360.100.30</t>
  </si>
  <si>
    <t>KRANKENVERSICHERUNGSPRÄMIEN - KONVENTIONEN FÜR ALLGEMEIN - ÄRZTLICHE BETREUUNG</t>
  </si>
  <si>
    <t>PREMI ASSICURATIVI MALATTIA - ASSISTENZA MEDICO GENERICA</t>
  </si>
  <si>
    <t>360.200.00</t>
  </si>
  <si>
    <t>CONVENZIONI PER ASSISTENZA PEDIATRICA</t>
  </si>
  <si>
    <t>360.200.10</t>
  </si>
  <si>
    <t>COMPENSI - ASSISTENZA PEDIATRICA</t>
  </si>
  <si>
    <t>B.2.A.1.1.B</t>
  </si>
  <si>
    <t>360.200.20</t>
  </si>
  <si>
    <t>ONERI SOCIALI - ASSISTENZA PEDIATRICA</t>
  </si>
  <si>
    <t>720.300.90</t>
  </si>
  <si>
    <t>ERLÖSE FÜR VERWALTUNGS- UND FÜHRUNGSLEISTUNGEN FÜR ANDERE SUBJEKTE</t>
  </si>
  <si>
    <t>PRESTAZIONI AMMINISTRATIVE E GESTIONALI AD ALTRI SOGGETTI</t>
  </si>
  <si>
    <t>720.400.00</t>
  </si>
  <si>
    <t xml:space="preserve">CONSULENZE </t>
  </si>
  <si>
    <t>A.2.B</t>
  </si>
  <si>
    <t>Ricavi per prestazioni non sanitarie</t>
  </si>
  <si>
    <t>720.400.20</t>
  </si>
  <si>
    <t>720.400.21</t>
  </si>
  <si>
    <t>720.400.90</t>
  </si>
  <si>
    <t>CONSULENZE SANITARIE AD ALTRI SOGGETTI</t>
  </si>
  <si>
    <t>720.400.91</t>
  </si>
  <si>
    <t>CONSULENZE NON SANITARIE AD ALTRI SOGGETTI</t>
  </si>
  <si>
    <t>720.500.00</t>
  </si>
  <si>
    <t>ERLÖSE AUS LEISTUNGEN FÜR PRIVATE</t>
  </si>
  <si>
    <t>RICAVI PER PRESTAZIONI A PRIVATI</t>
  </si>
  <si>
    <t>720.500.10</t>
  </si>
  <si>
    <t>720.500.20</t>
  </si>
  <si>
    <t>720.500.30</t>
  </si>
  <si>
    <t>720.500.40</t>
  </si>
  <si>
    <t>DIFFERENZEN AUS UNTERBRINGUNG IN SONDERZIMMERN</t>
  </si>
  <si>
    <t>DIFFERENZE ALBERGHIERE CAMERE SPECIALI</t>
  </si>
  <si>
    <t>720.500.50</t>
  </si>
  <si>
    <t>BENÜTZUNG VON TELEFON UND FERNSEHEN</t>
  </si>
  <si>
    <t>USO TELEFONO E TV</t>
  </si>
  <si>
    <t>720.500.60</t>
  </si>
  <si>
    <t>BEGLEITPFLEGESATZ</t>
  </si>
  <si>
    <t>RETTA  ACCOMPAGNATORI</t>
  </si>
  <si>
    <t>720.600.00</t>
  </si>
  <si>
    <t>ERLÖSE AUS TIERÄRZTLICHEN LEISTUNGEN</t>
  </si>
  <si>
    <t>RICAVI PER PRESTAZIONI VETERINARIE</t>
  </si>
  <si>
    <t>720.600.10</t>
  </si>
  <si>
    <t>VERGÜTUNGEN - KONVENTIONEN FÜR INTERNE FACHÄRZTLICHE BETREUUNG</t>
  </si>
  <si>
    <t>COMPENSI - ASSISTENZA SPECIALISTICA INTERNA</t>
  </si>
  <si>
    <t>da privato - Medici SUMAI</t>
  </si>
  <si>
    <t>12) Acq. Prest. san. - assist. special.conv.</t>
  </si>
  <si>
    <t>B.2.e</t>
  </si>
  <si>
    <t>380.100.20</t>
  </si>
  <si>
    <t>SOZIALABGABEN FÜR INTERNE FACHÄRZTLICHE BETREUUNG</t>
  </si>
  <si>
    <t>ONERI SOCIALI - ASSISTENZA SPECIALISTICA INTERNA</t>
  </si>
  <si>
    <t>380.200.00</t>
  </si>
  <si>
    <t>ACCANTONAMENTO FONDO PREMIO OPEROSITÀ (SUMAI)</t>
  </si>
  <si>
    <t>380.200.10</t>
  </si>
  <si>
    <t>380.900.00</t>
  </si>
  <si>
    <t>SONSTIGE KONVENTIONEN FÜR INTERNE FACHÄRZTLICHE BETREUUNG</t>
  </si>
  <si>
    <t>ALTRE CONVENZIONI SANITARIE - ASSISTENZA SPECIALISTICA INTERNA</t>
  </si>
  <si>
    <t>380.900.10</t>
  </si>
  <si>
    <t>390.000.00</t>
  </si>
  <si>
    <t>390</t>
  </si>
  <si>
    <t>KONVENTIONEN FÜR EXTERNE FACHÄRZTLICHE BETREUUNG</t>
  </si>
  <si>
    <t>CONVENZIONI SANITARIE PER ASSISTENZA SPECIALISTICA ESTERNA</t>
  </si>
  <si>
    <t>390.100.00</t>
  </si>
  <si>
    <t>390.100.10</t>
  </si>
  <si>
    <t>390.100.20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</si>
  <si>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</si>
  <si>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</si>
  <si>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</si>
  <si>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</si>
  <si>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</si>
  <si>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720.600.20</t>
  </si>
  <si>
    <t>720.700.00</t>
  </si>
  <si>
    <t>ERLÖSE AUS FREIBERUFLICHER TÄTIGKEIT</t>
  </si>
  <si>
    <t>RICAVI PER PRESTAZIONI LIBERO-PROFESSIONALI</t>
  </si>
  <si>
    <t>720.700.10</t>
  </si>
  <si>
    <t>Ricavi per prestazioni sanitarie intramoenia - Area specialistica</t>
  </si>
  <si>
    <t>720.750.00</t>
  </si>
  <si>
    <t>750</t>
  </si>
  <si>
    <t xml:space="preserve">ERLÖSE AUS ARBEITSMEDIZINISCHEN UND RECHTSMEDIZINISCHEN LEISTUNGEN </t>
  </si>
  <si>
    <t>RICAVI PER PRESTAZIONI MEDICINA DEL LAVORO E MEDICINA LEGALE</t>
  </si>
  <si>
    <t>720.750.10</t>
  </si>
  <si>
    <t>720.750.20</t>
  </si>
  <si>
    <t>ERLÖSE AUS ARBEITSMEDIZINISCHEN UND RECHTSMEDIZINISCHEN LEISTUNGEN - PRIVATE</t>
  </si>
  <si>
    <t>400.600.00</t>
  </si>
  <si>
    <t>SONSTIGE ERGÄNZENDE UND REHABILITATIONSBETREUUNG IN WOHNSTÄTTEN AUF DEM TERRITORIUM</t>
  </si>
  <si>
    <t>ALTRA ASSISTENZA RIABILITATIVA RESIDENZIALE ED INTEGRATIVA TERRITORIALE</t>
  </si>
  <si>
    <t>400.600.10</t>
  </si>
  <si>
    <t>400.700.00</t>
  </si>
  <si>
    <t>400.700.10</t>
  </si>
  <si>
    <t>400.700.20</t>
  </si>
  <si>
    <t>16) Assistenza aggiuntiva</t>
  </si>
  <si>
    <t>400.700.30</t>
  </si>
  <si>
    <t>400.700.40</t>
  </si>
  <si>
    <t>400.900.00</t>
  </si>
  <si>
    <t>THERMALBETREUUNG</t>
  </si>
  <si>
    <t>ASSISTENZA TERMALE</t>
  </si>
  <si>
    <t>400.900.10</t>
  </si>
  <si>
    <t>400.950.00</t>
  </si>
  <si>
    <t>950</t>
  </si>
  <si>
    <t>400.950.10</t>
  </si>
  <si>
    <t>410.000.00</t>
  </si>
  <si>
    <t>410</t>
  </si>
  <si>
    <t>410.100.00</t>
  </si>
  <si>
    <t>AUFENTHALTSBEZOGENE LEISTUNGEN</t>
  </si>
  <si>
    <t>COSTI PER PRESTAZIONI IN REGIME DI RICOVERO</t>
  </si>
  <si>
    <t>11) Acq. Prest. san. - assist. osped. in conv.</t>
  </si>
  <si>
    <t>B.2.a</t>
  </si>
  <si>
    <t>AA0310</t>
  </si>
  <si>
    <t>B)</t>
  </si>
  <si>
    <t>Altri beni e prodotti sanitari</t>
  </si>
  <si>
    <t>90</t>
  </si>
  <si>
    <t>15</t>
  </si>
  <si>
    <t>900</t>
  </si>
  <si>
    <t>120</t>
  </si>
  <si>
    <t>130</t>
  </si>
  <si>
    <t>LOCAZIONI PASSIVE - AREA NON SANITARIA</t>
  </si>
  <si>
    <t>430.200.00</t>
  </si>
  <si>
    <t>GEBÜHREN FÜR MIETE VON MEDIZINTECHNISCHEN GERÄTEN</t>
  </si>
  <si>
    <t>CANONI DI NOLEGGIO APPARECCHIATURE SANITARIE</t>
  </si>
  <si>
    <t>430.200.10</t>
  </si>
  <si>
    <t>B.4.B.1</t>
  </si>
  <si>
    <t>Canoni di noleggio - area sanitaria</t>
  </si>
  <si>
    <t>430.300.00</t>
  </si>
  <si>
    <t>GEBÜHREN FÜR MIETE VON NICHT-MEDIZINTECHNISCHEN GERÄTEN</t>
  </si>
  <si>
    <t>CANONI DI NOLEGGIO APPARECCHIATURE NON SANITARIE</t>
  </si>
  <si>
    <t>430.300.10</t>
  </si>
  <si>
    <t>GEBÜHREN FÜR MIETE VON HARD- UND SOFTWARE</t>
  </si>
  <si>
    <t>CANONI NOLEGGIO HARDWARE E SOFTWARE</t>
  </si>
  <si>
    <t>Canoni di noleggio - area non sanitaria</t>
  </si>
  <si>
    <t>430.300.90</t>
  </si>
  <si>
    <t>GEBÜHREN FÜR MIETE VON SONSTIGEN NICHT-MEDIZINTECHNISCHEN GERÄTEN</t>
  </si>
  <si>
    <t>CANONI DI NOLEGGIO ALTRE APPARECCHIATURE NON SANITARIE</t>
  </si>
  <si>
    <t>430.400.00</t>
  </si>
  <si>
    <t>GEBÜHREN FÜR MIETE VON KRAFTFAHRZEUGEN</t>
  </si>
  <si>
    <t>430.400.10</t>
  </si>
  <si>
    <t>CANONI DI NOLEGGIO AUTOMEZZI</t>
  </si>
  <si>
    <t>430.400.20</t>
  </si>
  <si>
    <t>MIETZINS FÜR ANDERE GÜTER</t>
  </si>
  <si>
    <t>CANONI DI NOLEGGIO ALTRI BENI</t>
  </si>
  <si>
    <t>430.500.00</t>
  </si>
  <si>
    <t>RATEN FÜR LEASING</t>
  </si>
  <si>
    <t>CANONI DI LEASING</t>
  </si>
  <si>
    <t>430.500.10</t>
  </si>
  <si>
    <t>RATEN FÜR LEASING VON MEDIZINTECHNISCHEN GERÄTEN</t>
  </si>
  <si>
    <t>CANONI DI LEASING APPARECCHIATURE SANITARIE</t>
  </si>
  <si>
    <t>Canoni di leasing - area sanitaria</t>
  </si>
  <si>
    <t>430.500.20</t>
  </si>
  <si>
    <t>RATEN FÜR LEASING VON NICHT-MEDIZINTECHNISCHEN GERÄTEN</t>
  </si>
  <si>
    <t>Kapitalisierte Kosten</t>
  </si>
  <si>
    <t>Costi capitalizzati</t>
  </si>
  <si>
    <t>AUFWENDUNGEN FÜR DIE PRODUKTION</t>
  </si>
  <si>
    <t>COSTI DELLA PRODUZIONE</t>
  </si>
  <si>
    <t>Einkäufe von Gütern</t>
  </si>
  <si>
    <t>Acquisti di beni</t>
  </si>
  <si>
    <t>460.200.20</t>
  </si>
  <si>
    <t>VERANSTALTUNGEN UND EVENTS</t>
  </si>
  <si>
    <t>MANIFESTAZIONI ED EVENTI</t>
  </si>
  <si>
    <t>460.250.00</t>
  </si>
  <si>
    <t>KOSTEN FÜR STREITFÄLLE, SCHIEDSSPRÜCHE UND SCHADENSERSATZ</t>
  </si>
  <si>
    <t>COSTI PER LITI, ARBITRAGGI E RISARCIMENTI</t>
  </si>
  <si>
    <t>460.250.10</t>
  </si>
  <si>
    <t>RÜCKERSTATTUNG VON RECHTSKOSTEN AN DAS PERSONAL</t>
  </si>
  <si>
    <t>RIMBORSO SPESE LEGALI AL PERSONALE</t>
  </si>
  <si>
    <t>460.250.20</t>
  </si>
  <si>
    <t>RECHTSKOSTEN FÜR STREITFÄLLE UND SCHIEDSSPRÜCHE</t>
  </si>
  <si>
    <t>SPESE LEGALI PER LITI E ARBITRAGGI</t>
  </si>
  <si>
    <t>460.250.30</t>
  </si>
  <si>
    <t>KOSTEN FÜR SCHADENSERSATZ</t>
  </si>
  <si>
    <t>COSTI PER RISARCIMENTI</t>
  </si>
  <si>
    <t>460.350.00</t>
  </si>
  <si>
    <t>RÜCKERSTATTUNGEN AN DAS BEDIENSTETE PERSONAL AUFGRUND VON STRASSENUNFÄLLEN</t>
  </si>
  <si>
    <t>RIMBORSI AL PERSONALE DIPENDENTE IN SEGUITO A INCIDENTI STRADALI</t>
  </si>
  <si>
    <t>460.350.10</t>
  </si>
  <si>
    <t>460.400.00</t>
  </si>
  <si>
    <t>POSTSPESEN</t>
  </si>
  <si>
    <t>SPESE POSTALI</t>
  </si>
  <si>
    <t>460.400.10</t>
  </si>
  <si>
    <t>460.450.00</t>
  </si>
  <si>
    <t>STEMPEL UND MARKEN</t>
  </si>
  <si>
    <t>BOLLI E MARCHE</t>
  </si>
  <si>
    <t>460.450.10</t>
  </si>
  <si>
    <t>460.500.00</t>
  </si>
  <si>
    <t>ABBONAMENTI</t>
  </si>
  <si>
    <t>460.500.10</t>
  </si>
  <si>
    <t>460.550.00</t>
  </si>
  <si>
    <t>VERSICHERUNGSPRÄMIEN</t>
  </si>
  <si>
    <t>PREMI DI ASSICURAZIONE</t>
  </si>
  <si>
    <t>460.550.10</t>
  </si>
  <si>
    <t>VERSICHERUNGSPRÄMIEN - HAFTPFLICHTVERSICHERUNG FÜR DIE KRANKENHAUSTÄTIGKEIT</t>
  </si>
  <si>
    <t>PREMI DI ASSICURAZIONE - ASSICURAZIONE RCT ATTIVITÀ OSPEDALIERA</t>
  </si>
  <si>
    <t xml:space="preserve">Premi di assicurazione - R.C. Professionale </t>
  </si>
  <si>
    <t>460.550.20</t>
  </si>
  <si>
    <t>ANDERE VERSICHERUNGSPRÄMIEN</t>
  </si>
  <si>
    <t>ALTRI PREMI DI ASSICURAZIONE</t>
  </si>
  <si>
    <t>Premi di assicurazione - Altri premi assicurativi</t>
  </si>
  <si>
    <t>460.600.00</t>
  </si>
  <si>
    <t>BÜCHER, ZEITSCHRIFTEN UND TELEFONVERZEICHNISSE</t>
  </si>
  <si>
    <t>LIBRI, RIVISTE ED ELENCHI TELEFONICI</t>
  </si>
  <si>
    <t>460.600.10</t>
  </si>
  <si>
    <t>460.650.00</t>
  </si>
  <si>
    <t>650</t>
  </si>
  <si>
    <t>INKASSO- UND BANKSPESEN</t>
  </si>
  <si>
    <t>SPESE DI INCASSO E BANCARIE</t>
  </si>
  <si>
    <t>460.650.10</t>
  </si>
  <si>
    <t>460.700.00</t>
  </si>
  <si>
    <t>KONDOMINIUMSPESEN</t>
  </si>
  <si>
    <t>SPESE CONDOMINIALI</t>
  </si>
  <si>
    <t>460.700.10</t>
  </si>
  <si>
    <t>460.900.00</t>
  </si>
  <si>
    <t>SONSTIGE ALLGEMEINE VERWALTUNGSKOSTEN</t>
  </si>
  <si>
    <t>ALTRI COSTI GENERALI ED AMMINISTRATIVI</t>
  </si>
  <si>
    <t>460.900.10</t>
  </si>
  <si>
    <t>470.000.00</t>
  </si>
  <si>
    <t>470</t>
  </si>
  <si>
    <t>SANITÄTSSTELLENPLAN</t>
  </si>
  <si>
    <t>PERSONALE RUOLO SANITARIO</t>
  </si>
  <si>
    <t>470.100.00</t>
  </si>
  <si>
    <t>FESTE BEZÜGE - PERSONAL DES SANITÄTSSTELLENPLANS</t>
  </si>
  <si>
    <t>COMPETENZE FISSE - PERSONALE RUOLO SANITARIO</t>
  </si>
  <si>
    <t>470.100.10</t>
  </si>
  <si>
    <t xml:space="preserve">19) Personale  </t>
  </si>
  <si>
    <t>470.100.20</t>
  </si>
  <si>
    <t>470.100.30</t>
  </si>
  <si>
    <t>Anlage dynamische Tabelle Aufwände/Erträge</t>
  </si>
  <si>
    <t>PRODUKTIVITÄTSSTEIGERUNGSPRÄMIE - PERSONAL DES SANITÄTSSTELLENPLANS</t>
  </si>
  <si>
    <t>INCENTIVI  - PERSONALE RUOLO SANITARIO</t>
  </si>
  <si>
    <t>470.300.10</t>
  </si>
  <si>
    <t>470.300.20</t>
  </si>
  <si>
    <t>470.300.30</t>
  </si>
  <si>
    <t>470.600.00</t>
  </si>
  <si>
    <t>BETEILIGUNGEN AN DEN PFLEGESATZAUFSCHLÄGEN - PERSONAL DES SANITÄTSSTELLENPLANS</t>
  </si>
  <si>
    <t>COMPARTECIPAZIONI PER DIFFERENZA DI CLASSE - PERSONALE RUOLO SANITARIO</t>
  </si>
  <si>
    <t>470.600.10</t>
  </si>
  <si>
    <t>470.600.20</t>
  </si>
  <si>
    <t>470.700.00</t>
  </si>
  <si>
    <t>C)</t>
  </si>
  <si>
    <t>140</t>
  </si>
  <si>
    <t>400.500.25</t>
  </si>
  <si>
    <t>400.500.30</t>
  </si>
  <si>
    <t>B.2.A.12.3</t>
  </si>
  <si>
    <t xml:space="preserve"> da pubblico (Extraregione) non soggette a compensazione</t>
  </si>
  <si>
    <t>400.500.35</t>
  </si>
  <si>
    <t>AA0240</t>
  </si>
  <si>
    <t>220</t>
  </si>
  <si>
    <t>480.700.10</t>
  </si>
  <si>
    <t>480.700.15</t>
  </si>
  <si>
    <t>480.700.20</t>
  </si>
  <si>
    <t xml:space="preserve">RIMBORSI A FARMACIE PRIVATE ED ESERCIZI COMMERCIALI  PER PRODOTTI DIETETICI </t>
  </si>
  <si>
    <t>ASSISTENZA TERMALE  DA PRIVATO</t>
  </si>
  <si>
    <t>THERMALBETREUUNG VON PRIVATEN</t>
  </si>
  <si>
    <t>B.2.A.10.4</t>
  </si>
  <si>
    <t>400.900.20</t>
  </si>
  <si>
    <t>ASSISTENZA TERMALE DA PUBBLICO EXTRA PAB - FATTURATA</t>
  </si>
  <si>
    <t>THERMALBETREUUNG VON ÖFFENTLICHEN EINRICHTUNGEN AUSSERHALB DES LANDES -  VERRECHNET</t>
  </si>
  <si>
    <t>400.900.21</t>
  </si>
  <si>
    <t>B.2.A.10.3</t>
  </si>
  <si>
    <t>FORNITURA STRAORDINARIA PROTESI - LP 30/92</t>
  </si>
  <si>
    <t>AUSSERORDENTLICHE LIEFERUNG VON PROTHESEN - LG 30/92</t>
  </si>
  <si>
    <t>400.960.00</t>
  </si>
  <si>
    <t>960</t>
  </si>
  <si>
    <t>ACQUISTO PRESTAZIONI PER DISTRIBUZIONE DIRETTA FARMACI</t>
  </si>
  <si>
    <t>ANKAUF LEISTUNGEN FÜR DIREKTE MEDIKAMENTENVERTEILUNG</t>
  </si>
  <si>
    <t>400.960.05</t>
  </si>
  <si>
    <t>SPESE PER LA DISTRIBUZIONE DIRETTA DEI FARMACI - LEGGE N.405/2001 ART.8 LETT.A) - DA PUBBLICO (ALTRI SOGGETTI PUBBL.DELLA PAB)</t>
  </si>
  <si>
    <t>60</t>
  </si>
  <si>
    <t>490.000.00</t>
  </si>
  <si>
    <t>490</t>
  </si>
  <si>
    <t>PERSONAL DES TECHNISCHEN STELLENPLANS</t>
  </si>
  <si>
    <t>PERSONALE RUOLO TECNICO</t>
  </si>
  <si>
    <t>490.100.00</t>
  </si>
  <si>
    <t>FESTE BEZÜGE - PERSONAL DES TECHNISCHEN STELLENPLANS</t>
  </si>
  <si>
    <t>COMPETENZE FISSE - PERSONALE RUOLO TECNICO</t>
  </si>
  <si>
    <t>490.100.10</t>
  </si>
  <si>
    <t>490.100.20</t>
  </si>
  <si>
    <t>490.100.30</t>
  </si>
  <si>
    <t>490.100.40</t>
  </si>
  <si>
    <t>490.200.00</t>
  </si>
  <si>
    <t>ZUSÄTZLICHE BEZÜGE - PERSONAL DES TECHNISCHEN STELLENPLANS</t>
  </si>
  <si>
    <t>COMPETENZE ACCESSORIE - PERSONALE RUOLO TECNICO</t>
  </si>
  <si>
    <t>490.200.10</t>
  </si>
  <si>
    <t>490.200.20</t>
  </si>
  <si>
    <t>490.300.00</t>
  </si>
  <si>
    <t>PRODUKTIVITÄTSSTEIGERUNGSPRÄMIE - PERSONAL DES TECHNISCHEN STELLENPLANS</t>
  </si>
  <si>
    <t>INCENTIVI  - PERSONALE RUOLO TECNICO</t>
  </si>
  <si>
    <t>490.300.10</t>
  </si>
  <si>
    <t>490.300.20</t>
  </si>
  <si>
    <t>490.600.00</t>
  </si>
  <si>
    <t>SOZIALABGABEN - PERSONAL DES TECHNISCHEN STELLENPLANS</t>
  </si>
  <si>
    <t>ONERI SOCIALI - PERSONALE RUOLO TECNICO</t>
  </si>
  <si>
    <t>490.600.10</t>
  </si>
  <si>
    <t>490.600.20</t>
  </si>
  <si>
    <t>490.600.30</t>
  </si>
  <si>
    <t>490.600.40</t>
  </si>
  <si>
    <t>490.700.00</t>
  </si>
  <si>
    <t>490.700.10</t>
  </si>
  <si>
    <t>490.700.15</t>
  </si>
  <si>
    <t>490.700.20</t>
  </si>
  <si>
    <t>490.700.25</t>
  </si>
  <si>
    <t>490.700.30</t>
  </si>
  <si>
    <t>490.700.35</t>
  </si>
  <si>
    <t>490.700.40</t>
  </si>
  <si>
    <t>490.700.45</t>
  </si>
  <si>
    <t>490.700.60</t>
  </si>
  <si>
    <t>490.700.65</t>
  </si>
  <si>
    <t>500.000.00</t>
  </si>
  <si>
    <t>PERSONAL DES VERWALTUNGSSTELLENPLANS</t>
  </si>
  <si>
    <t>PERSONALE RUOLO AMMINISTRATIVO</t>
  </si>
  <si>
    <t>500.100.00</t>
  </si>
  <si>
    <t>FESTE BEZÜGE - PERSONAL DES VERWALTUNGSSTELLENPLANS</t>
  </si>
  <si>
    <t>COMPETENZE FISSE - PERSONALE RUOLO AMMINISTRATIVO</t>
  </si>
  <si>
    <t>500.100.10</t>
  </si>
  <si>
    <t>500.700.25</t>
  </si>
  <si>
    <t>500.700.30</t>
  </si>
  <si>
    <t>500.700.35</t>
  </si>
  <si>
    <t>500.700.40</t>
  </si>
  <si>
    <t>500.700.45</t>
  </si>
  <si>
    <t>500.700.60</t>
  </si>
  <si>
    <t>500.700.65</t>
  </si>
  <si>
    <t>510.000.00</t>
  </si>
  <si>
    <t>510</t>
  </si>
  <si>
    <t>SONSTIGE PERSONALKOSTEN</t>
  </si>
  <si>
    <t>ALTRI COSTI DI PERSONALE</t>
  </si>
  <si>
    <t>510.100.00</t>
  </si>
  <si>
    <t>510.100.10</t>
  </si>
  <si>
    <t>Compartecipazione al personale per att. Libero-prof. (intramoenia)</t>
  </si>
  <si>
    <t>510.150.00</t>
  </si>
  <si>
    <t>EXTERNES PERSONAL MIT PRIVATRECHTLICHEM VERTRAG</t>
  </si>
  <si>
    <t>PERSONALE ESTERNO CON CONTRATTO DI DIRITTO PRIVATO</t>
  </si>
  <si>
    <t>510.150.10</t>
  </si>
  <si>
    <t>510.150.11</t>
  </si>
  <si>
    <t>510.150.12</t>
  </si>
  <si>
    <t>510.150.13</t>
  </si>
  <si>
    <t>510.150.20</t>
  </si>
  <si>
    <t>510.160.00</t>
  </si>
  <si>
    <t>160</t>
  </si>
  <si>
    <t>230</t>
  </si>
  <si>
    <t>D)</t>
  </si>
  <si>
    <t>240</t>
  </si>
  <si>
    <t>Beiträge für laufende Ausgaben - von Region oder Autonomer Provinz für Anteil regionaler Gesundheitsfond</t>
  </si>
  <si>
    <t>Beiträge für laufende Ausgaben - außerhalb Fond</t>
  </si>
  <si>
    <t>Beiträge von Region oder Aut. Prov. (außerhalb Fond) - verwendungsgebunden</t>
  </si>
  <si>
    <t>Beiträge von Region oder Aut. Prov. (außerhalb Fond) - zusätzliche Bilanzmittel zur Deckung der WBS</t>
  </si>
  <si>
    <t>Beiträge von Region oder Aut. Prov. (außerhalb Fond) - zusätzliche Bilanzmittel zur Deckung außerhalb WBS</t>
  </si>
  <si>
    <t>Beiträge von Region oder Aut. Prov. (außerhalb Fond) - sonstiges</t>
  </si>
  <si>
    <t>Beiträge von öffentlichen Sanitätsbetrieben (außerhalb Fond)</t>
  </si>
  <si>
    <t>Beiträge für laufende Ausgaben - für Forschung</t>
  </si>
  <si>
    <t>vom Gesundheitsministerium für laufende Forschung</t>
  </si>
  <si>
    <t>vom Gesundheitsministerium für zielgerichtete Forschung</t>
  </si>
  <si>
    <t>von der Region und anderen öffentlichen Subjekten</t>
  </si>
  <si>
    <t>von Privaten</t>
  </si>
  <si>
    <t>Beiträge für laufende Ausgaben - von Privaten</t>
  </si>
  <si>
    <t>Berichtigung Beiträge für laufende Ausgaben für Zuweisung an Investitionen</t>
  </si>
  <si>
    <t>Verwendung Mittel aus nicht verwendeten Anteilen verwendungsgebundener Beiträge vorhergehender Geschäftsjahre</t>
  </si>
  <si>
    <t>Erlöse aus sanitären Leistungen und soziosanitären Leistungen von sanitärer Relevanz</t>
  </si>
  <si>
    <t>Erlöse aus sanitären und soziosanitären Leistungen - an öffentliche Sanitätsbetriebe</t>
  </si>
  <si>
    <t>Erlöse aus sanitären und soziosanitären Leistungen - Intramoenia</t>
  </si>
  <si>
    <t>Erlöse aus sanitären und soziosanitären Leistungen - sonstige</t>
  </si>
  <si>
    <t>Kostenbeiträge, Rückerlangungen und Rückerstattungen</t>
  </si>
  <si>
    <t>470.800.16</t>
  </si>
  <si>
    <t>470.800.21</t>
  </si>
  <si>
    <t>470.800.26</t>
  </si>
  <si>
    <t>Nichtleitendes Personal des Sanitätsstellenplans</t>
  </si>
  <si>
    <t>Leitendes Personal der anderen Stellenpläne</t>
  </si>
  <si>
    <t>Nicht leitendes Personal der anderen Stellenpläne</t>
  </si>
  <si>
    <t>Verschiedene Aufwendungen der Gebarung</t>
  </si>
  <si>
    <t>Abschreibungen des immateriellen Anlagevermögens</t>
  </si>
  <si>
    <t>Abschreibungen der Gebäude</t>
  </si>
  <si>
    <t>Abschreibungen des sonstigen materiellen Anlagevermögens</t>
  </si>
  <si>
    <t>Abwertungen des Anlagevermögens und der Forderungen</t>
  </si>
  <si>
    <t>Veränderungen der sanitären Restbestände</t>
  </si>
  <si>
    <t>Veränderungen der nicht sanitären Restbestände</t>
  </si>
  <si>
    <t>Rückstellungen</t>
  </si>
  <si>
    <t>Rückstellungen für Leistungsprämie</t>
  </si>
  <si>
    <t>Rückstellungen für nicht verwendete Anteile verwendungsgebundener Beiträge</t>
  </si>
  <si>
    <t>Summe B)</t>
  </si>
  <si>
    <t>DIFF. PRODUKTIONSWERT UND AUFWENDUNGEN FÜR DIE PROD. (A-B)</t>
  </si>
  <si>
    <t>Aktivzinsen und andere Finanzerträge</t>
  </si>
  <si>
    <t>Passivzinsen und andere Finanzaufwendungen</t>
  </si>
  <si>
    <t>Summe C)</t>
  </si>
  <si>
    <t>Summe D)</t>
  </si>
  <si>
    <t>Außerordentliche Erträge</t>
  </si>
  <si>
    <t>Veräußerungsgewinne</t>
  </si>
  <si>
    <t>Andere außerordentliche Erträge</t>
  </si>
  <si>
    <t>Außerordentliche Aufwendungen</t>
  </si>
  <si>
    <t>Veräußerungsverluste</t>
  </si>
  <si>
    <t>Andere außerordentliche Aufwendungen</t>
  </si>
  <si>
    <t>Summe E)</t>
  </si>
  <si>
    <t>JAHRESERGEBNIS VOR STEUERN  (A-B+C+D+E)</t>
  </si>
  <si>
    <t>STEUERN AUF DAS EINKOMMEN AUS DEM GESCHÄFTSJAHR</t>
  </si>
  <si>
    <t>Wertschöpfungssteuer für lohnabhängiges Personal</t>
  </si>
  <si>
    <t>Wertschöpfungssteuer für Mitarbeiter und dem lohnabhängigen Personal gleichgestelltes Personal</t>
  </si>
  <si>
    <t>Wertschöpfungssteuer für freiberufliche Tätigkeit (Intramoenia)</t>
  </si>
  <si>
    <t>Wertschöpfungssteuer auf wirtschaftliche Tätigkeit</t>
  </si>
  <si>
    <t>Zuweisungen an Rückstellungen für Steuern (Feststellungen, Erlasse, usw.)</t>
  </si>
  <si>
    <t>Summe Y)</t>
  </si>
  <si>
    <t>GEWINN (VERLUST) DES GESCHÄFTSJAHRES</t>
  </si>
  <si>
    <t>Jahr</t>
  </si>
  <si>
    <t xml:space="preserve">DESCRIZIONE ITALIANO </t>
  </si>
  <si>
    <t>BESCHREIBUNG DEUTSCH</t>
  </si>
  <si>
    <t>Codice informatico CE ministeriale</t>
  </si>
  <si>
    <t>PAY-BACK BEI ÜBERSCHREITUNG DER AUSGABENHÖCHSTGRENZE FÜR DIE PHARMAZEUTISCHE BETREUUNG AUF DEM TERRITORIUM</t>
  </si>
  <si>
    <t>A.5.E.1.1</t>
  </si>
  <si>
    <t>Pay-back per il superamento del tetto della spesa farmaceutica territoriale</t>
  </si>
  <si>
    <t>740.300.12</t>
  </si>
  <si>
    <t>PAY-BACK PER IL SUPERAMENTO DEL TETTO DELLA SPESA FARMACEUTICA OSPEDALIERA</t>
  </si>
  <si>
    <t>PAY-BACK BEI ÜBERSCHREITUNG DER AUSGABENHÖCHSTGRENZE FÜR DIE PHARMAZEUTISCHE BETREUUNG IM KRANKENHAUS</t>
  </si>
  <si>
    <t>A.5.E.1.2</t>
  </si>
  <si>
    <t>Pay-back per il superamento del tetto della spesa farmaceutica ospedaliera</t>
  </si>
  <si>
    <t>740.300.13</t>
  </si>
  <si>
    <t>PAY-BACK PER FARMACI SOTTOPOSTI A MONITORAGGIO AIFA</t>
  </si>
  <si>
    <t>PAY-BACK FÜR PHARMAZEUTISCHE PRODUKTE, DIE DER ÜBERWACHUNG DURCH DIE AIFA UNTERLIEGEN</t>
  </si>
  <si>
    <t>A.5.D.3</t>
  </si>
  <si>
    <t>Altri concorsi, recuperi e rimborsi da parte di altri soggetti pubblici</t>
  </si>
  <si>
    <t>RICAVI PER FORNITURE DI BENI</t>
  </si>
  <si>
    <t>A.5.D.2</t>
  </si>
  <si>
    <t>Rimborsi per acquisto beni da parte di altri soggetti pubblici</t>
  </si>
  <si>
    <t>RICAVI PER FORNITURE DI BENI AD ALTRI SOGGETTI</t>
  </si>
  <si>
    <t>E.1.B.1</t>
  </si>
  <si>
    <t>Proventi da donazioni e liberalità diverse</t>
  </si>
  <si>
    <t xml:space="preserve">LOCAZIONI ATTIVE  </t>
  </si>
  <si>
    <t>760.400.20</t>
  </si>
  <si>
    <t>LOCAZIONI ATTIVE  DA IMMOBILI DELLA PAB</t>
  </si>
  <si>
    <t>AKTIVMIETEN AUS IMMOBILIEN DES LANDES</t>
  </si>
  <si>
    <t>FINANZERTRÄGE AUS DEPOSITEN UND KASSAÜBERSCHÜSSEN</t>
  </si>
  <si>
    <t>C.1.B</t>
  </si>
  <si>
    <t>C.1.A</t>
  </si>
  <si>
    <t>Interessi attivi su c/tesoreria unica</t>
  </si>
  <si>
    <t>C.1.C</t>
  </si>
  <si>
    <t>C.2.A</t>
  </si>
  <si>
    <t>PROVENTI STRAORDINARI</t>
  </si>
  <si>
    <t>780.100.11</t>
  </si>
  <si>
    <t>Sopravvenienze attive v/terzi relative alla mobilità extraregionale</t>
  </si>
  <si>
    <t>780.100.12</t>
  </si>
  <si>
    <t>SOPRAVVENIENZE ATTIVE V/TERZI RELATIVE AL PERSONALE</t>
  </si>
  <si>
    <t>AUSSERORDENTLICHE ERTRÄGE GEGENÜBER DRITTEN BETREFFEND DAS PERSONAL</t>
  </si>
  <si>
    <t>Sopravvenienze attive v/terzi relative al personale</t>
  </si>
  <si>
    <t>780.100.13</t>
  </si>
  <si>
    <t>SOPRAVVENIENZE ATTIVE V/TERZI RELATIVE ALLE CONVENZIONI CON MEDICI DI BASE</t>
  </si>
  <si>
    <t>AUSSERORDENTLICHE ERTRÄGE GEGENÜBER DRITTEN BETREFFEND KONVENTIONEN FÜR GESUNDHEITLICHE GRUNDVERSORGUNG</t>
  </si>
  <si>
    <t>Dispositivi medici</t>
  </si>
  <si>
    <t>14</t>
  </si>
  <si>
    <t>16</t>
  </si>
  <si>
    <t>Prodotti chimici</t>
  </si>
  <si>
    <t>17</t>
  </si>
  <si>
    <t>Materiali e prodotti per uso veterinario</t>
  </si>
  <si>
    <t>18</t>
  </si>
  <si>
    <t>ACCANTONAMENTI AL FONDO ONERI PER ADEGUAMENTI TARIFFARI E PER RINNOVO CONVENZIONI</t>
  </si>
  <si>
    <t>535.650.10</t>
  </si>
  <si>
    <t>535.700.00</t>
  </si>
  <si>
    <t>ZUWEISUNGEN AN RÜCKSTELLUNGEN FÜR RISIKEN</t>
  </si>
  <si>
    <t xml:space="preserve">ACCANTONAMENTI AI FONDI RISCHI </t>
  </si>
  <si>
    <t>535.700.10</t>
  </si>
  <si>
    <t>ZUWEISUNGEN AN RÜCKSTELLUNGEN FÜR RISIKEN AUS STREITFÄLLEN, UND SCHIEDSSPRÜCHEN UND FÜR SCHADENERSATZ</t>
  </si>
  <si>
    <t>ACCANTONAMENTI AL FONDO RISCHI SU LITI, ARBITRAGGI E RISARCIMENTI</t>
  </si>
  <si>
    <t>Accantonamenti per cause civili ed oneri processuali</t>
  </si>
  <si>
    <t>535.700.20</t>
  </si>
  <si>
    <t>Accantonamenti per contenzioso personale dipendente</t>
  </si>
  <si>
    <t>535.700.90</t>
  </si>
  <si>
    <t>ZUWEISUNGEN AN SONSTIGEN RÜCKSTELLUNGEN FÜR RISIKEN</t>
  </si>
  <si>
    <t>ACCANTONAMENTI AD ALTRI FONDI RISCHI</t>
  </si>
  <si>
    <t>535.900.00</t>
  </si>
  <si>
    <t>ZUWEISUNGEN AN SONSTIGE RÜCKSTELLUNGEN</t>
  </si>
  <si>
    <t xml:space="preserve">ACCANTONAMENTI AD ALTRI FONDI </t>
  </si>
  <si>
    <t>535.900.90</t>
  </si>
  <si>
    <t>ACCANTONAMENTI AD ALTRI FONDI</t>
  </si>
  <si>
    <t>550.000.00</t>
  </si>
  <si>
    <t>FINANZAUFWAND</t>
  </si>
  <si>
    <t>ONERI FINANZIARI</t>
  </si>
  <si>
    <t>550.100.00</t>
  </si>
  <si>
    <t>INTERESSI PASSIVI PER ANTICIPAZIONI DI CASSA</t>
  </si>
  <si>
    <t>550.100.10</t>
  </si>
  <si>
    <t>27.5) (minus)Oneri finanziari (al netto proventi)</t>
  </si>
  <si>
    <t>550.200.00</t>
  </si>
  <si>
    <t>PASSIVZINSEN FÜR DARLEHEN</t>
  </si>
  <si>
    <t>INTERESSI PASSIVI SU MUTUI</t>
  </si>
  <si>
    <t>550.200.10</t>
  </si>
  <si>
    <t>Interessi passivi su mutui</t>
  </si>
  <si>
    <t>550.300.00</t>
  </si>
  <si>
    <t>INTERESSI PASSIVI SU ALTRE FORME DI CREDITO EX ART. 3 D.LGS. 502/92</t>
  </si>
  <si>
    <t>550.300.10</t>
  </si>
  <si>
    <t>Altri interessi passivi</t>
  </si>
  <si>
    <t>550.400.00</t>
  </si>
  <si>
    <t>01) Acq. Beni San.</t>
  </si>
  <si>
    <t>B.1.a</t>
  </si>
  <si>
    <t>300.150.00</t>
  </si>
  <si>
    <t>DIÄTPRODUKTE</t>
  </si>
  <si>
    <t xml:space="preserve">PRODOTTI DIETETICI </t>
  </si>
  <si>
    <t>300.150.10</t>
  </si>
  <si>
    <t>300.200.00</t>
  </si>
  <si>
    <t>MATERIALE PER LA PROFILASSI IGIENICO-SANITARIA</t>
  </si>
  <si>
    <t>300.600.00</t>
  </si>
  <si>
    <t>WERTSCHÖPFUNGSSTEUER BEDIENSTETES PERSONAL</t>
  </si>
  <si>
    <t>IRAP PERSONALE DIPENDENTE</t>
  </si>
  <si>
    <t>Y.1.A</t>
  </si>
  <si>
    <t>IRAP relativa a personale dipendente</t>
  </si>
  <si>
    <t>20) irap</t>
  </si>
  <si>
    <t>590.200.20</t>
  </si>
  <si>
    <t>IRAP relativa a collaboratori e personale assimilato a lavoro dipendente</t>
  </si>
  <si>
    <t>590.200.30</t>
  </si>
  <si>
    <t>WERTSCHÖFPUNGSSTEUER AUF WIRTSCHAFTLICHE TÄTIGKEIT</t>
  </si>
  <si>
    <t>IRAP SU ATTIVITÁ COMMERCIALI</t>
  </si>
  <si>
    <t>IRAP relativa ad attività commerciali</t>
  </si>
  <si>
    <t>590.200.40</t>
  </si>
  <si>
    <t>MATERIALI PER LA PULIZIA E DI CONVIVENZA</t>
  </si>
  <si>
    <t>310.300.00</t>
  </si>
  <si>
    <t>BRENNSTOFFE</t>
  </si>
  <si>
    <t>COMBUSTIBILI</t>
  </si>
  <si>
    <t>310.300.10</t>
  </si>
  <si>
    <t>METHAN - STADTGAS</t>
  </si>
  <si>
    <t>METANO - GAS DI CITTA'</t>
  </si>
  <si>
    <t>Combustibili, carburanti e lubrificanti</t>
  </si>
  <si>
    <t>310.300.90</t>
  </si>
  <si>
    <t>HEIZÖL UND ANDERE BRENNSTOFFE</t>
  </si>
  <si>
    <t>GASOLIO ED ALTRI COMBUSTIBILI</t>
  </si>
  <si>
    <t>310.400.00</t>
  </si>
  <si>
    <t>TREIB- UND SCHMIERSTOFFE</t>
  </si>
  <si>
    <t>CARBURANTI E LUBRIFICANTI</t>
  </si>
  <si>
    <t>310.400.10</t>
  </si>
  <si>
    <t>310.500.00</t>
  </si>
  <si>
    <t>CANCELLERIA, STAMPATI E MATERIALI DI CONSUMO PER L'INFORMATICA</t>
  </si>
  <si>
    <t>310.500.10</t>
  </si>
  <si>
    <t>Supporti informatici e cancelleria</t>
  </si>
  <si>
    <t>310.900.00</t>
  </si>
  <si>
    <t>ACQUISTI ALTRI BENI NON SANITARI</t>
  </si>
  <si>
    <t>310.900.10</t>
  </si>
  <si>
    <t>320.000.00</t>
  </si>
  <si>
    <t>320</t>
  </si>
  <si>
    <t>320.100.00</t>
  </si>
  <si>
    <t>MATERIAL UND ZUBEHÖR FÜR INSTANDHALTUNG VON UNBEWEGLICHEN GÜTERN</t>
  </si>
  <si>
    <t>MATERIALI ED ACCESSORI PER MANUTENZIONE DI IMMOBILI</t>
  </si>
  <si>
    <t>320.100.10</t>
  </si>
  <si>
    <t>B.1.B.5</t>
  </si>
  <si>
    <t>Materiale per la manutenzione</t>
  </si>
  <si>
    <t>320.200.00</t>
  </si>
  <si>
    <t>500.600.41</t>
  </si>
  <si>
    <t>500.700.11</t>
  </si>
  <si>
    <t>500.700.16</t>
  </si>
  <si>
    <t>500.700.21</t>
  </si>
  <si>
    <t>500.700.26</t>
  </si>
  <si>
    <t>500.700.31</t>
  </si>
  <si>
    <t>470.800.56</t>
  </si>
  <si>
    <t>56</t>
  </si>
  <si>
    <t>470.800.61</t>
  </si>
  <si>
    <t>360.300.00</t>
  </si>
  <si>
    <t>CONVENZIONI PER ASSISTENZA GUARDIA MEDICA FESTIVA E NOTTURNA</t>
  </si>
  <si>
    <t>360.300.10</t>
  </si>
  <si>
    <t>COMPENSI - ASSISTENZA GUARDIA MEDICA FESTIVA E NOTTURNA</t>
  </si>
  <si>
    <t>360.300.20</t>
  </si>
  <si>
    <t>ONERI SOCIALI - ASSISTENZA GUARDIA MEDICA FESTIVA E NOTTURNA</t>
  </si>
  <si>
    <t>360.300.30</t>
  </si>
  <si>
    <t>PREMI ASSICURATIVI MALATTIA - ASSISTENZA GUARDIA MEDICA FESTIVA E NOTTURNA</t>
  </si>
  <si>
    <t>360.400.00</t>
  </si>
  <si>
    <t>KONVENTIONEN ALLGEMEIN-ÄRZTLICHER URLAUBSDIENST</t>
  </si>
  <si>
    <t>CONVENZIONI PER ASSISTENZA GUARDIA MEDICA TURISTICA</t>
  </si>
  <si>
    <t>360.400.10</t>
  </si>
  <si>
    <t>VERGÜTUNGEN - KONVENTIONEN ALLGEMEIN-ÄRZTLICHER URLAUBSDIENST</t>
  </si>
  <si>
    <t>COMPENSI - ASSISTENZA GUARDIA MEDICA TURISTICA</t>
  </si>
  <si>
    <t>360.400.20</t>
  </si>
  <si>
    <t>SOZIALABGABEN -  KONVENTIONEN ALLGEMEIN-ÄRZTLICHER URLAUBSDIENST</t>
  </si>
  <si>
    <t>ONERI SOCIALI - ASSISTENZA GUARDIA MEDICA TURISTICA</t>
  </si>
  <si>
    <t>360.400.30</t>
  </si>
  <si>
    <t>KRANKENVERSICHERUNGSPRÄMIEN - KONVENTIONEN ALLGEMEIN-ÄRZTLICHER URLAUBSDIENST</t>
  </si>
  <si>
    <t>PREMI ASSICURATIVI MALATTIA - ASSISTENZA GUARDIA MEDICA TURISTICA</t>
  </si>
  <si>
    <t>360.900.00</t>
  </si>
  <si>
    <t>ALTRE PRESTAZIONI PER ASSISTENZA SANITARIA DI BASE</t>
  </si>
  <si>
    <t>360.900.10</t>
  </si>
  <si>
    <t>SONSTIGE LEISTUNGEN FÜR GESUNDHEITLICHE GRUNDVERSORGUNG</t>
  </si>
  <si>
    <t>B.2.A.1.1.D</t>
  </si>
  <si>
    <t>Altro (medicina dei servizi, psicologi, medici 118, ecc)</t>
  </si>
  <si>
    <t>370.000.00</t>
  </si>
  <si>
    <t>370</t>
  </si>
  <si>
    <t>KONVENTIONEN FÜR PHARMAZEUTISCHE BETREUUNG</t>
  </si>
  <si>
    <t>CONVENZIONI PER ASSISTENZA FARMACEUTICA</t>
  </si>
  <si>
    <t>370.100.00</t>
  </si>
  <si>
    <t>370.100.10</t>
  </si>
  <si>
    <t>da convenzione</t>
  </si>
  <si>
    <t>09) Ass. Farmac.</t>
  </si>
  <si>
    <t>B.2.c</t>
  </si>
  <si>
    <t>370.100.20</t>
  </si>
  <si>
    <t>370.100.30</t>
  </si>
  <si>
    <t>BEITRAG GEMÄSS ART. 20 DPR 94/89</t>
  </si>
  <si>
    <t>CONTRIBUTO EX ART. 20 DPR 94/89</t>
  </si>
  <si>
    <t>380.000.00</t>
  </si>
  <si>
    <t>380</t>
  </si>
  <si>
    <t>KONVENTIONEN FÜR INTERNE FACHÄRZTLICHE BETREUUNG</t>
  </si>
  <si>
    <t>CONVENZIONI SANITARIE PER ASSISTENZA SPECIALISTICA INTERNA</t>
  </si>
  <si>
    <t>380.100.00</t>
  </si>
  <si>
    <t>380.100.10</t>
  </si>
  <si>
    <t>400.000.00</t>
  </si>
  <si>
    <t>400.100.00</t>
  </si>
  <si>
    <t>400.100.10</t>
  </si>
  <si>
    <t>14) Acq. Altre prest. sanitarie</t>
  </si>
  <si>
    <t>400.200.00</t>
  </si>
  <si>
    <t>400.200.10</t>
  </si>
  <si>
    <t>400.300.00</t>
  </si>
  <si>
    <t>400.300.10</t>
  </si>
  <si>
    <t>400.400.00</t>
  </si>
  <si>
    <t>400.400.10</t>
  </si>
  <si>
    <t>400.500.00</t>
  </si>
  <si>
    <t>400.500.10</t>
  </si>
  <si>
    <t>13) Acq. Prest. san. - case di riposo</t>
  </si>
  <si>
    <t>400.500.20</t>
  </si>
  <si>
    <t>700</t>
  </si>
  <si>
    <t>800</t>
  </si>
  <si>
    <t>30</t>
  </si>
  <si>
    <t>61</t>
  </si>
  <si>
    <t>Insussistenze passive v/terzi relative all'acquisto prestaz. sanitarie da operatori accreditati</t>
  </si>
  <si>
    <t>560.200.16</t>
  </si>
  <si>
    <t>AKTIVSCHWUND BETREFFEND DIE ANKÄUFE VON GÜTERN UND DIENSTLEISTUNGEN</t>
  </si>
  <si>
    <t>Insussistenze passive v/terzi relative all'acquisto di beni e servizi</t>
  </si>
  <si>
    <t>560.200.17</t>
  </si>
  <si>
    <t>ALTRE INSUSSISTENZE DELL'ATTIVO</t>
  </si>
  <si>
    <t>SONSTIGER AKTIVSCHWUND</t>
  </si>
  <si>
    <t>Altre insussistenze passive v/terzi</t>
  </si>
  <si>
    <t>560.250.00</t>
  </si>
  <si>
    <t>ONERI TRIBUTARI DA ESERCIZI PRECEDENTI</t>
  </si>
  <si>
    <t>STEUERABGABEN AUS VERGANGENEN GESCHÄFTSJAHREN</t>
  </si>
  <si>
    <t>560.250.10</t>
  </si>
  <si>
    <t>E.2.B.1</t>
  </si>
  <si>
    <t>Oneri tributari da esercizi precedenti</t>
  </si>
  <si>
    <t>C.4.B</t>
  </si>
  <si>
    <t xml:space="preserve"> Svalutazioni</t>
  </si>
  <si>
    <t xml:space="preserve">IRES </t>
  </si>
  <si>
    <t xml:space="preserve"> IRES </t>
  </si>
  <si>
    <t>IRAP COLLABORATORI E PERSONALE ASSIMILATO AL LAVORO DIPENDENTE E ATTIVITÀ LIBERO PROFESSIONALE OCCASIONALE</t>
  </si>
  <si>
    <t>WERTSCHÖPFUNGSSTEUER FÜR MITARBEITER UND DEM LOHNABHÄNGIGEN PERSONAL GLEICHGESTELLTES PERSONAL SOWIE FÜR GELEGENTLICHE FREIBERUFLICHE TÄTIGKEIT</t>
  </si>
  <si>
    <t>Y.1.B</t>
  </si>
  <si>
    <t>Y.1.D</t>
  </si>
  <si>
    <t>IRAP relativa ad attività commerciale</t>
  </si>
  <si>
    <t>IRAP LIBERA PROFESSIONE IN REGIME DI INTRAMOENIA</t>
  </si>
  <si>
    <t>WERTSCHÖPFUNGSSTEUER FÜR FREIBERUFLICHE INTRAMOENIA-TÄTIGKEIT</t>
  </si>
  <si>
    <t>Y.1.C</t>
  </si>
  <si>
    <t>B.9.A</t>
  </si>
  <si>
    <t>Imposte e tasse (escluso IRAP e IRES)</t>
  </si>
  <si>
    <t>595.000.00</t>
  </si>
  <si>
    <t>595</t>
  </si>
  <si>
    <t>PERDITE SU CREDITI</t>
  </si>
  <si>
    <t>FORDERUNGSVERLUSTE</t>
  </si>
  <si>
    <t>595.100.00</t>
  </si>
  <si>
    <t>595.100.10</t>
  </si>
  <si>
    <t>B.9.B</t>
  </si>
  <si>
    <t>Perdite su crediti</t>
  </si>
  <si>
    <t>700.100.20</t>
  </si>
  <si>
    <t>480.700.11</t>
  </si>
  <si>
    <t>480.700.16</t>
  </si>
  <si>
    <t>480.700.21</t>
  </si>
  <si>
    <t>480.700.26</t>
  </si>
  <si>
    <t>480.700.31</t>
  </si>
  <si>
    <t>500.700.36</t>
  </si>
  <si>
    <t>500.700.41</t>
  </si>
  <si>
    <t>500.700.46</t>
  </si>
  <si>
    <t>500.700.61</t>
  </si>
  <si>
    <t>500.700.66</t>
  </si>
  <si>
    <t>COMPARTECIPAZIONI A PERSONALE  PER ATTIVITÀ LIBERO-PROFESSIONALI</t>
  </si>
  <si>
    <t>510.100.05</t>
  </si>
  <si>
    <t>BETEILIGUNGEN AN DAS PERSONAL FÜR FREIBERUFLICHE LEISTUNGEN - KRANKENHAUSBEREICH</t>
  </si>
  <si>
    <t>B.2.A.13.1</t>
  </si>
  <si>
    <t>Compartecipazione al personale per att. libero professionale intramoenia- Area ospedaliera</t>
  </si>
  <si>
    <t>BETEILIGUNGEN AN DAS PERSONAL FÜR FREIBERUFLICHE LEISTUNGEN - FACHARZTBEREICH</t>
  </si>
  <si>
    <t>B.2.A.13.2</t>
  </si>
  <si>
    <t>Compartecipazione al personale per att. libero professionale intramoenia- Area specialistica</t>
  </si>
  <si>
    <t>510.100.20</t>
  </si>
  <si>
    <t>BETEILIGUNGEN AN DAS PERSONAL FÜR FREIBERUFLICHE LEISTUNGEN - BERATUNGEN (GEM. EX-ART. 55 ABS.1 BUCHST. C), D) UND GEM EX-ART. 57-58)</t>
  </si>
  <si>
    <t>B.2.A.13.4</t>
  </si>
  <si>
    <t>Compartecipazione al personale per att. libero professionale intramoenia - Consulenze (ex art. 55 c.1 lett. c), d) ed ex art. 57-58)</t>
  </si>
  <si>
    <t>510.100.40</t>
  </si>
  <si>
    <t>CANONI DI LEASING APPARECCHIATURE NON SANITARIE</t>
  </si>
  <si>
    <t>Canoni di leasing - area non sanitaria</t>
  </si>
  <si>
    <t>430.500.30</t>
  </si>
  <si>
    <t>RATEN FÜR LEASING VON KRAFTFAHRZEUGEN</t>
  </si>
  <si>
    <t>CANONI DI LEASING AUTOMEZZI</t>
  </si>
  <si>
    <t>430.500.40</t>
  </si>
  <si>
    <t>LEASINGRATEN FÜR ANDERE GÜTER</t>
  </si>
  <si>
    <t>CANONI DI LEASING ALTRI BENI</t>
  </si>
  <si>
    <t>430.900.00</t>
  </si>
  <si>
    <t>SONSTIGE KOSTEN FÜR DIE NUTZUNG VON GÜTERN DRITTER</t>
  </si>
  <si>
    <t>ALTRI COSTI PER GODIMENTO BENI DI TERZI</t>
  </si>
  <si>
    <t>430.900.10</t>
  </si>
  <si>
    <t>440.000.00</t>
  </si>
  <si>
    <t>440</t>
  </si>
  <si>
    <t>VERGÜTUNGEN FÜR LEITENDE ORGANE</t>
  </si>
  <si>
    <t>COMPENSI AGLI ORGANI DIRETTIVI</t>
  </si>
  <si>
    <t>440.100.00</t>
  </si>
  <si>
    <t>440.100.10</t>
  </si>
  <si>
    <t>ENTSCHÄDIGUNG - LEITUNGSORGANE</t>
  </si>
  <si>
    <t>INDENNITA' - ORGANI DIRETTIVI</t>
  </si>
  <si>
    <t>Indennità, rimborso spese e oneri sociali per gli Organi Direttivi e Collegio Sindacale</t>
  </si>
  <si>
    <t>07) Costi gen. Oneri div. Gesti</t>
  </si>
  <si>
    <t>B.5</t>
  </si>
  <si>
    <t>440.100.20</t>
  </si>
  <si>
    <t>RÜCKERSTATTUNG VON AUSGABEN - LEITUNGSORGANE</t>
  </si>
  <si>
    <t>RIMBORSO SPESE - ORGANI DIRETTIVI</t>
  </si>
  <si>
    <t>440.100.30</t>
  </si>
  <si>
    <t>SOZIALABGABEN - LEITUNGSORGANE</t>
  </si>
  <si>
    <t>ONERI SOCIALI - ORGANI DIRETTIVI</t>
  </si>
  <si>
    <t>440.200.00</t>
  </si>
  <si>
    <t>ACCANTONAMENTI PER ALTRI ONERI DA LIQUIDARE - ORGANI DIRETTIVI</t>
  </si>
  <si>
    <t>440.200.10</t>
  </si>
  <si>
    <t>Altri accantonamenti</t>
  </si>
  <si>
    <t>450.000.00</t>
  </si>
  <si>
    <t>COMPENSI AL COLLEGIO DEI REVISORI</t>
  </si>
  <si>
    <t>450.100.00</t>
  </si>
  <si>
    <t>450.100.10</t>
  </si>
  <si>
    <t>INDENNITA' - COLLEGIO DEI REVISORI</t>
  </si>
  <si>
    <t>450.100.20</t>
  </si>
  <si>
    <t>RIMBORSO SPESE - COLLEGIO DEI REVISORI</t>
  </si>
  <si>
    <t>450.100.30</t>
  </si>
  <si>
    <t>ONERI SOCIALI - COLLEGIO DEI REVISORI</t>
  </si>
  <si>
    <t>450.200.00</t>
  </si>
  <si>
    <t>ACCANTONAMENTI PER ALTRI ONERI DA LIQUIDARE - COLLEGIO REVISORI</t>
  </si>
  <si>
    <t>450.200.10</t>
  </si>
  <si>
    <t>460.000.00</t>
  </si>
  <si>
    <t>460</t>
  </si>
  <si>
    <t>ALLGEMEINE UND VERWALTUNGSKOSTEN</t>
  </si>
  <si>
    <t>COSTI GENERALI ED AMMINISTRATIVI</t>
  </si>
  <si>
    <t>460.100.00</t>
  </si>
  <si>
    <t>SITZUNGSGELDER UND RÜCKERSTATTUNG VON KOSTEN FÜR DIE MITGLIEDER VON VERSCHIEDENEN KOMMISSIONEN</t>
  </si>
  <si>
    <t>GETTONI DI PRESENZA E RIMBORSO COSTI AI MEMBRI DI COMMISSIONI VARIE</t>
  </si>
  <si>
    <t>460.100.10</t>
  </si>
  <si>
    <t>Altri oneri diversi di gestione</t>
  </si>
  <si>
    <t>460.150.00</t>
  </si>
  <si>
    <t>REPRÄSENTATIONSKOSTEN</t>
  </si>
  <si>
    <t>COSTI DI RAPPRESENTANZA</t>
  </si>
  <si>
    <t>460.150.10</t>
  </si>
  <si>
    <t>460.200.00</t>
  </si>
  <si>
    <t>VERÖFFENTLICHUNGEN UND VERANSTALTUNGEN</t>
  </si>
  <si>
    <t>PUBBLICITA' E MANIFESTAZIONI</t>
  </si>
  <si>
    <t>460.200.10</t>
  </si>
  <si>
    <t>VERÖFFENTLICHUNGEN UND ANZEIGEN</t>
  </si>
  <si>
    <t>PUBBLICITA' ED INSERZIONI</t>
  </si>
  <si>
    <t>B.2.B.1.12.C</t>
  </si>
  <si>
    <t>310</t>
  </si>
  <si>
    <t>150</t>
  </si>
  <si>
    <t>470.100.40</t>
  </si>
  <si>
    <t>470.100.50</t>
  </si>
  <si>
    <t>470.100.60</t>
  </si>
  <si>
    <t>470.200.00</t>
  </si>
  <si>
    <t>ZUSÄTZLICHE BEZÜGE - PERSONAL DES SANITÄTSSTELLENPLANS</t>
  </si>
  <si>
    <t>COMPETENZE ACCESSORIE - PERSONALE RUOLO SANITARIO</t>
  </si>
  <si>
    <t>470.200.10</t>
  </si>
  <si>
    <t>470.200.20</t>
  </si>
  <si>
    <t>470.200.30</t>
  </si>
  <si>
    <t>470.300.00</t>
  </si>
  <si>
    <t>STATIONÄRE UND TEILSTATIONÄRE REHABILITATIONSBETREUUNG IN EINRICHTUNGEN GEMÄSS ART. 26 G. 833/78 VON PRIVATEN DES LANDES</t>
  </si>
  <si>
    <t>B.2.A.4.4</t>
  </si>
  <si>
    <t>400.200.20</t>
  </si>
  <si>
    <t>STATIONÄRE UND TEILSTATIONÄRE REHABILITATIONSBETREUUNG IN EINRICHTUNGEN GEMÄSS ART. 26 G. 833/78 VON PRIVATEN AUSSERHALB DES LANDES</t>
  </si>
  <si>
    <t>B.2.A.4.5</t>
  </si>
  <si>
    <t>da privato ( extraregionale)</t>
  </si>
  <si>
    <t>B.2.A.4.3</t>
  </si>
  <si>
    <t>da pubblico (Extraregione) non soggetti a compensazione</t>
  </si>
  <si>
    <t>ASSISTENZA RIABILITATIVA RESIDENZIALE, SEMIRESIDENZIALE ED INTEGRATIVA TERRITORIALE PER TOSSICODIPENDENTI DELLA PAB</t>
  </si>
  <si>
    <t>B.2.A.12.4</t>
  </si>
  <si>
    <t>400.300.20</t>
  </si>
  <si>
    <t>ASSISTENZA RIABILITATIVA RESIDENZIALE, SEMIRESIDENZIALE ED INTEGRATIVA TERRITORIALE PER TOSSICODIPENDENTI EXTRA-PAB</t>
  </si>
  <si>
    <t>B.2.A.12.5</t>
  </si>
  <si>
    <t>da privato (extraregionale)</t>
  </si>
  <si>
    <t>ASSISTENZA RIABILITATIVA RESIDENZIALE, SEMIRESIDENZIALE ED INTEGRATIVA TERRITORIALE PER MALATI E DISTURBATI MENTALI NELLA PAB</t>
  </si>
  <si>
    <t>STATIONÄRE, TEILSTATIONÄRE UND ERGÄNZENDE REHABILITATIONSBETREUUNG  AUF DEM TERRITORIUM FÜR MENTAL ERKRANKTE UND GESTÖRTE IM LAND</t>
  </si>
  <si>
    <t>B.2.A.8.4</t>
  </si>
  <si>
    <t>400.400.20</t>
  </si>
  <si>
    <t>ASSISTENZA RIABILITATIVA RESIDENZIALE, SEMIRESIDENZIALE ED INTEGRATIVA TERRITORIALE PER MALATI E DISTURBATI MENTALI EXTRA PAB</t>
  </si>
  <si>
    <t>STATIONÄRE, TEILSTATIONÄRE UND ERGÄNZENDE REHABILITATIONSBETREUUNG  AUF DEM TERRITORIUM FÜR MENTAL ERKRANKTE UND GESTÖRTE AUSSERHALB DES LANDES</t>
  </si>
  <si>
    <t>B.2.A.8.5</t>
  </si>
  <si>
    <t>B.2.A.12.2</t>
  </si>
  <si>
    <t>da pubblico (Altri soggetti pubbl. della regione)</t>
  </si>
  <si>
    <t>400.500.15</t>
  </si>
  <si>
    <t>Prestazioni di psichiatria non soggetta a compensazione (resid. e semiresid.)</t>
  </si>
  <si>
    <t xml:space="preserve">PRESTAZIONI DI RICOVERO AD ALTRI SOGGETTI PUBBLICI </t>
  </si>
  <si>
    <t>A.4.A.2</t>
  </si>
  <si>
    <t xml:space="preserve">Ricavi per prestaz. sanitarie e sociosanitarie a rilevanza sanitaria erogate ad altri soggetti pubblici </t>
  </si>
  <si>
    <t>PRESTAZIONI DI RICOVERO AD AZIENDE SANITARIE E CASSE MUTUA ESTERE (FATTURATE DIRETTAMENTE)</t>
  </si>
  <si>
    <t>Altre prestazioni sanitarie e sociosanitarie a rilevanza sanitaria - Mobilità attiva Internazionale</t>
  </si>
  <si>
    <t>Ricavi per prestazioni sanitarie e sociosanitarie a rilevanza sanitaria erogate a privati</t>
  </si>
  <si>
    <t>A.4.c</t>
  </si>
  <si>
    <t>720.200.22</t>
  </si>
  <si>
    <t>A.4.A.3.6</t>
  </si>
  <si>
    <t>Prestazioni servizi farmaceutica convenzionata Extraregione</t>
  </si>
  <si>
    <t>720.200.23</t>
  </si>
  <si>
    <t>A.4.A.3.5</t>
  </si>
  <si>
    <t>Prestazioni servizi MMG, PLS, Contin. assistenziale Extraregione</t>
  </si>
  <si>
    <t>720.200.24</t>
  </si>
  <si>
    <t>A.4.A.3.2</t>
  </si>
  <si>
    <t>720.200.25</t>
  </si>
  <si>
    <t>A.4.A.3.7</t>
  </si>
  <si>
    <t>Prestazioni termali Extraregione</t>
  </si>
  <si>
    <t>720.200.26</t>
  </si>
  <si>
    <t>A.4.A.3.4</t>
  </si>
  <si>
    <t>B.2.A.5.2</t>
  </si>
  <si>
    <t>400.700.15</t>
  </si>
  <si>
    <t xml:space="preserve">RIMBORSI A FARMACIE PRIVATE ED ESERCIZI COMMERCIALI PER PRESIDI SANITARI </t>
  </si>
  <si>
    <t>B.2.A.5.4</t>
  </si>
  <si>
    <t>400.700.25</t>
  </si>
  <si>
    <t>RÜCKERSTATTUNGEN AN ÖFFENTLICHE APOTHEKEN FÜR GALENIKA</t>
  </si>
  <si>
    <t>400.700.35</t>
  </si>
  <si>
    <t xml:space="preserve">RIMBORSI A FARMACIE PRIVATE ED ESERCIZI COMMERCIALI PER GALENICI </t>
  </si>
  <si>
    <t xml:space="preserve">RIMBORSI A FARMACIE PUBBLICHE PER PRODOTTI DIETETICI </t>
  </si>
  <si>
    <t>RÜCKERSTATTUNGEN AN ÖFFENTLICHE APOTHEKEN FÜR DIÄTPRODUKTE</t>
  </si>
  <si>
    <t>400.700.45</t>
  </si>
  <si>
    <t>Accantonamenti per quote inutilizzate contributi da soggetti pubblici per ricerca</t>
  </si>
  <si>
    <t>535.800.40</t>
  </si>
  <si>
    <t>ACCANTONAMENTI PER QUOTE INUTILIZZATE DEI CONTRIBUTI VINCOLATI DA PRIVATI</t>
  </si>
  <si>
    <t>ZUWEISUNGEN AN RÜCKSTELLUNGEN FÜR NICHT VERWENDETE ANTEILE VON ZWECKGEBUNDENEN BEITRÄGEN VON PRIVATEN</t>
  </si>
  <si>
    <t>Accantonamenti per quote inutilizzate contributi vincolati da privati</t>
  </si>
  <si>
    <t>ACCANTONAMENTI PER INTERESSI DI MORA</t>
  </si>
  <si>
    <t>ZUWEISUNG AN RÜCKSTELLUNGEN FÜR VERZUGSZINSEN</t>
  </si>
  <si>
    <t>11</t>
  </si>
  <si>
    <t>31</t>
  </si>
  <si>
    <t>32</t>
  </si>
  <si>
    <t>Tabelle A10: Finanzierungsübersicht</t>
  </si>
  <si>
    <t>tabella A10: riepilogo finanziamento</t>
  </si>
  <si>
    <t>Posten</t>
  </si>
  <si>
    <t>ulteriori finanziamenti - tagli di finanziamenti provinciali - provvedimenti di razzionalizzazioni statali</t>
  </si>
  <si>
    <t>Abschluss</t>
  </si>
  <si>
    <t>Voranschlag</t>
  </si>
  <si>
    <t>consuntivo</t>
  </si>
  <si>
    <t>preconsuntivo</t>
  </si>
  <si>
    <t>preventivo</t>
  </si>
  <si>
    <t>CONTO  ECONOMICO</t>
  </si>
  <si>
    <r>
      <t>Importi</t>
    </r>
    <r>
      <rPr>
        <b/>
        <sz val="12"/>
        <rFont val="Verdana"/>
        <family val="2"/>
      </rPr>
      <t xml:space="preserve">: Euro    </t>
    </r>
  </si>
  <si>
    <t>Anno</t>
  </si>
  <si>
    <t>Importo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</si>
  <si>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</si>
  <si>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</si>
  <si>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</si>
  <si>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</si>
  <si>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</si>
  <si>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</si>
  <si>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A.1.b.1</t>
  </si>
  <si>
    <t>Contributi da Regione o Prov. Aut. (extra fondo) - vincolati</t>
  </si>
  <si>
    <t>A.1.b.2</t>
  </si>
  <si>
    <t>2)</t>
  </si>
  <si>
    <t>Contributi da Regione o Prov. Aut. (extra fondo) - Risorse aggiuntive da bilancio a titolo di copertura LEA</t>
  </si>
  <si>
    <t>A.1.b.3</t>
  </si>
  <si>
    <t>3)</t>
  </si>
  <si>
    <t>Contributi da Regione o Prov. Aut. (extra fondo) - Risorse aggiuntive da bilancio a titolo di copertura extra LEA</t>
  </si>
  <si>
    <t>A.1.b.4</t>
  </si>
  <si>
    <t>4)</t>
  </si>
  <si>
    <t>Contributi da Regione o Prov. Aut. (extra fondo) - altro</t>
  </si>
  <si>
    <t>250</t>
  </si>
  <si>
    <t>350</t>
  </si>
  <si>
    <t>Consulenze, collaborazioni, interinale, altre prestazioni di lavoro sanitarie e sociosanitarie</t>
  </si>
  <si>
    <t>B.2.p</t>
  </si>
  <si>
    <t>p)</t>
  </si>
  <si>
    <t>Altri servizi sanitari e sociosanitari a rilevanza sanitaria</t>
  </si>
  <si>
    <t>B.2.q</t>
  </si>
  <si>
    <t>q)</t>
  </si>
  <si>
    <t>Costi per differenziale Tariffe TUC</t>
  </si>
  <si>
    <t>Acquisti di servizi non sanitari</t>
  </si>
  <si>
    <t>B.3.a</t>
  </si>
  <si>
    <t>Servizi non sanitari</t>
  </si>
  <si>
    <t>B.3.b</t>
  </si>
  <si>
    <r>
      <t>Consulenze, collaborazioni, interinale, altre prestazioni di lavoro non sanitarie</t>
    </r>
    <r>
      <rPr>
        <sz val="10"/>
        <color indexed="10"/>
        <rFont val="Verdana"/>
        <family val="2"/>
      </rPr>
      <t xml:space="preserve"> </t>
    </r>
  </si>
  <si>
    <t>B.3.c</t>
  </si>
  <si>
    <t>Formazione</t>
  </si>
  <si>
    <t>B.4</t>
  </si>
  <si>
    <t>Manutenzione e riparazione</t>
  </si>
  <si>
    <t>Personale dirigente medico</t>
  </si>
  <si>
    <t>Personale dirigente ruolo sanitario non medico</t>
  </si>
  <si>
    <t>Personale comparto ruolo sanitario</t>
  </si>
  <si>
    <t>Personale dirigente altri ruoli</t>
  </si>
  <si>
    <t>B.6.e</t>
  </si>
  <si>
    <t>Personale comparto altri ruoli</t>
  </si>
  <si>
    <t>Oneri diversi di gestione</t>
  </si>
  <si>
    <t>B.8.a</t>
  </si>
  <si>
    <t>Ammortamenti immobilizzazioni immateriali</t>
  </si>
  <si>
    <t>B.8.b</t>
  </si>
  <si>
    <t>Ammortamenti dei Fabbricati</t>
  </si>
  <si>
    <t>B.8.c</t>
  </si>
  <si>
    <t>Svalutazione delle immobilizzazioni e dei crediti</t>
  </si>
  <si>
    <t>10)</t>
  </si>
  <si>
    <t>B.10.a</t>
  </si>
  <si>
    <t>Variazione delle rimanenze sanitarie</t>
  </si>
  <si>
    <t>B.10.b</t>
  </si>
  <si>
    <t>Variazione delle rimanenze non sanitarie</t>
  </si>
  <si>
    <t>11)</t>
  </si>
  <si>
    <t>Accantonamenti</t>
  </si>
  <si>
    <t>B.11.a</t>
  </si>
  <si>
    <t>B.11.b</t>
  </si>
  <si>
    <t xml:space="preserve">Accantonamenti per premio operosità </t>
  </si>
  <si>
    <t>B.11.c</t>
  </si>
  <si>
    <t>Accantonamenti per quote inutilizzate di contributi vincolati</t>
  </si>
  <si>
    <t>B.11.d</t>
  </si>
  <si>
    <t>Totale B)</t>
  </si>
  <si>
    <t>DIFF. TRA VALORE E COSTI DELLA PRODUZIONE (A-B)</t>
  </si>
  <si>
    <t>C.1</t>
  </si>
  <si>
    <t>Interessi attivi ed altri proventi finanziari</t>
  </si>
  <si>
    <t>C.2</t>
  </si>
  <si>
    <t>Interessi passivi ed altri oneri finanziari</t>
  </si>
  <si>
    <t>Totale C)</t>
  </si>
  <si>
    <t>Totale D)</t>
  </si>
  <si>
    <t>Proventi straordinari</t>
  </si>
  <si>
    <t>Oneri straordinari</t>
  </si>
  <si>
    <t>Totale E)</t>
  </si>
  <si>
    <t>RISULTATO PRIMA DELLE IMPOSTE (A-B+C+D+E)</t>
  </si>
  <si>
    <t>Y)</t>
  </si>
  <si>
    <t>IMPOSTE SUL REDDITO DELL'ESERCIZIO</t>
  </si>
  <si>
    <t>Y.1.a</t>
  </si>
  <si>
    <t>Y.1.b</t>
  </si>
  <si>
    <t>Y.1.c</t>
  </si>
  <si>
    <t>Y.1.d</t>
  </si>
  <si>
    <t>Y.2</t>
  </si>
  <si>
    <t>Accantonamento a fondo imposte (accertamenti, condoni, ecc.)</t>
  </si>
  <si>
    <t>Totale Y)</t>
  </si>
  <si>
    <t>Betrag</t>
  </si>
  <si>
    <t>470.700.31</t>
  </si>
  <si>
    <t>470.700.41</t>
  </si>
  <si>
    <t>470.700.51</t>
  </si>
  <si>
    <t>470.700.61</t>
  </si>
  <si>
    <t>470.800.11</t>
  </si>
  <si>
    <t>ERLÖSE AUS TIERÄRZTLICHEN LEISTUNGEN BEREICH B FÜR PRIVATE</t>
  </si>
  <si>
    <t>720.600.25</t>
  </si>
  <si>
    <t>RICAVI PER PRESTAZIONI VETERINARIE AREA B EROGATE A SOGGETTI PUBBLICI</t>
  </si>
  <si>
    <t>ERLÖSE AUS TIERÄRZTLICHEN LEISTUNGEN BEREICH B FÜR ÖFFENTLICHE EINRICHTUNGEN</t>
  </si>
  <si>
    <t>720.700.05</t>
  </si>
  <si>
    <t>RICAVI PER PRESTAZIONI LIBERO-PROFESSIONALI- AREA OSPEDALIERA</t>
  </si>
  <si>
    <t>ERLÖSE AUS FREIBERUFLICHER TÄTIGKEIT  -KRANKENHAUSBEREICH</t>
  </si>
  <si>
    <t>A.4.D.1</t>
  </si>
  <si>
    <t>Ricavi per prestazioni sanitarie intramoenia - Area ospedaliera</t>
  </si>
  <si>
    <t>A.4.b</t>
  </si>
  <si>
    <t>RICAVI PER PRESTAZIONI LIBERO-PROFESSIONALI- AREA SPECIALISTICA</t>
  </si>
  <si>
    <t>ERLÖSE AUS FREIBERUFLICHER TÄTIGKEIT - FACHÄRZTLICHER BEREICH</t>
  </si>
  <si>
    <t>A.4.D.2</t>
  </si>
  <si>
    <t>720.700.20</t>
  </si>
  <si>
    <t>RICAVI PER PRESTAZIONI LIBERO-PROFESSIONALI CONSULENZE (EX ART. 55 C.1 LETT. C), D) ED EX ART. 57-58)</t>
  </si>
  <si>
    <t>ERLÖSE AUS FREIBERUFLICHER TÄTIGKEIT - BERATUNGEN (GEM. EX-ART. 55 ABS.1 BUCHST. C), D) UND GEM. EX-ART. 57-58)</t>
  </si>
  <si>
    <t>A.4.D.4</t>
  </si>
  <si>
    <t>Ricavi per prestazioni sanitarie intramoenia - Consulenze (ex art. 55 c.1 lett. c), d) ed ex Art. 57-58)</t>
  </si>
  <si>
    <t>720.700.40</t>
  </si>
  <si>
    <t>RICAVI PER PRESTAZIONI LIBERO-PROFESSIONALI ALTRO</t>
  </si>
  <si>
    <t>ERLÖSE AUS FREIBERUFLICHER TÄTIGKEIT - SONSTIGES</t>
  </si>
  <si>
    <t>A.4.D.6</t>
  </si>
  <si>
    <t>Ricavi per prestazioni sanitarie intramoenia - Altro</t>
  </si>
  <si>
    <t>A.6.A</t>
  </si>
  <si>
    <t>Compartecipazione alla spesa per prestazioni sanitarie - Ticket sulle prestazioni di specialistica ambulatoriale</t>
  </si>
  <si>
    <t>A.6.B</t>
  </si>
  <si>
    <t>A.6.C</t>
  </si>
  <si>
    <t>Compartecipazione alla spesa per prestazioni sanitarie (Ticket) - Altro</t>
  </si>
  <si>
    <t>A.5.E.2</t>
  </si>
  <si>
    <t>Altri concorsi, recuperi e rimborsi da privati</t>
  </si>
  <si>
    <t>740.200.05</t>
  </si>
  <si>
    <t>RIMBORSI ASSICURATIVI</t>
  </si>
  <si>
    <t>VERSICHERUNGSRÜCKERSTATTUNGEN</t>
  </si>
  <si>
    <t>A.5.A</t>
  </si>
  <si>
    <t>Rimborsi assicurativi</t>
  </si>
  <si>
    <t>A.9.B</t>
  </si>
  <si>
    <t>Fitti attivi ed altri proventi da attività immobiliari</t>
  </si>
  <si>
    <t>740.200.61</t>
  </si>
  <si>
    <t>RIMBORSO DEGLI ONERI STIPENDIALI DEL PERSONALE DIPENDENTE DELL'AZIENDA IN POSIZIONE DI COMANDO PRESSO LA PAB</t>
  </si>
  <si>
    <t>RÜCKZAHLUNG FÜR LOHNABHÄNGIGES AN DAS LAND ABGEORDNETES PERSONAL DES SANITÄTSBETRIEBES</t>
  </si>
  <si>
    <t>A.5.B.1</t>
  </si>
  <si>
    <t>Rimborso degli oneri stipendiali del personale dipendente dell'azienda in posizione di comando presso la Regione</t>
  </si>
  <si>
    <t>740.200.62</t>
  </si>
  <si>
    <t>62</t>
  </si>
  <si>
    <t>RIMBORSO DEGLI ONERI STIPENDIALI DEL PERSONALE DIPENDENTE DELL'AZIENDA IN POSIZIONE DI COMANDO PRESSO ALTRI SOGGETTI PUBBLICI</t>
  </si>
  <si>
    <t>RÜCKZAHLUNG FÜR LOHNABHÄNGIGES AN ANDERE ÖFFENTLICHE KÖRPERSCHAFTEN ABGEORDNETES PERSONAL DES SANITÄTSBETRIEBES</t>
  </si>
  <si>
    <t>A.5.D.1</t>
  </si>
  <si>
    <t>Rimborso degli oneri stipendiali del personale dipendente dell'azienda in posizione di comando presso altri soggetti pubblici</t>
  </si>
  <si>
    <t>740.200.63</t>
  </si>
  <si>
    <t>63</t>
  </si>
  <si>
    <t>ALTRI CONCORSI, RECUPERI E RIMBORSI DA PARTE DELLA PAB</t>
  </si>
  <si>
    <t>ANDERE KOSTENBEITRÄGE,  RÜCKERSTATTUNGEN UND RÜCKERLANGUNGEN VOM LAND</t>
  </si>
  <si>
    <t>A.5.B.2</t>
  </si>
  <si>
    <t>Altri concorsi, recuperi e rimborsi da parte della Regione</t>
  </si>
  <si>
    <t>RIMBORSI PER ASSISTENZA FARMACEUTICA</t>
  </si>
  <si>
    <t>RÜCKVERGÜTUNGEN FÜR PHARMAZEUTISCHE BETREUUNG</t>
  </si>
  <si>
    <t>A.5.E.1.3</t>
  </si>
  <si>
    <t>Ulteriore Pay-back</t>
  </si>
  <si>
    <t>740.300.11</t>
  </si>
  <si>
    <t>PAY-BACK PER IL SUPERAMENTO DEL TETTO DELLA SPESA FARMACEUTICA TERRITORIALE</t>
  </si>
  <si>
    <t>B.1.A.7</t>
  </si>
  <si>
    <t>300.900.00</t>
  </si>
  <si>
    <t>ALTRI BENI E PRODOTTI SANITARI</t>
  </si>
  <si>
    <t>300.900.10</t>
  </si>
  <si>
    <t>B.1.A.8</t>
  </si>
  <si>
    <t>B.1.B.1</t>
  </si>
  <si>
    <t>B.1.B.2</t>
  </si>
  <si>
    <t>B.1.B.3</t>
  </si>
  <si>
    <t>B.1.B.4</t>
  </si>
  <si>
    <t>B.1.B.6</t>
  </si>
  <si>
    <t>Manutenzione e riparazione ai fabbricati e loro pertinenze</t>
  </si>
  <si>
    <t>330.100.20</t>
  </si>
  <si>
    <t>SERVIZI PER MANUTENZIONE DI IMPIANTI E MACCHINARI</t>
  </si>
  <si>
    <t>DIENSTLEISTUNGEN FÜR INSTANDHALTUNG VON MASCHINEN UND MASCHINELLEN ANLAGEN</t>
  </si>
  <si>
    <t>B.3.B</t>
  </si>
  <si>
    <t>Manutenzione e riparazione agli impianti e macchinari</t>
  </si>
  <si>
    <t>Manutenzione e riparazione alle attrezzature sanitarie e scientifiche</t>
  </si>
  <si>
    <t>B.3.F</t>
  </si>
  <si>
    <t>Altre manutenzioni e riparazioni</t>
  </si>
  <si>
    <t>B.3.E</t>
  </si>
  <si>
    <t>Manutenzione e riparazione agli automezzi</t>
  </si>
  <si>
    <t>330.500.00</t>
  </si>
  <si>
    <t>SERVIZI PER MANUTENZIONE MOBILI ED ARREDI</t>
  </si>
  <si>
    <t>A.1.B.1.2</t>
  </si>
  <si>
    <t>Contributi da Regione o Prov. Aut. (extra fondo) - Risorse aggiuntive da bilancio regionale a titolo di copertura LEA</t>
  </si>
  <si>
    <t>CONTRIBUTI IN C/ESERCIZIO DA PAB CON DESTINAZIONE VINCOLATA DA FSP</t>
  </si>
  <si>
    <t>VERWENDUNGSGEBUNDENE BEITRÄGE DES LANDES FÜR LAUFENDE AUSGABEN AUS DEM LGF</t>
  </si>
  <si>
    <t>A.1.A.2</t>
  </si>
  <si>
    <t>da Regione o Prov. Aut. per quota F.S. regionale vincolato</t>
  </si>
  <si>
    <t>700.200.20</t>
  </si>
  <si>
    <t>CONTRIBUTI IN C/ESERCIZIO DA PAB CON DESTINAZIONE VINCOLATA EXTRA FSP</t>
  </si>
  <si>
    <t>A.1.B.1.1</t>
  </si>
  <si>
    <t>da Regione o Prov. Aut. ( extra fondo)  vincolati</t>
  </si>
  <si>
    <t>CONTRIBUTI IN C/ESERCIZIO DA PAB PER RINNOVI CONTRATTUALI DA FSP</t>
  </si>
  <si>
    <t>BEITRÄGE DES LANDES FÜR LAUFENDE AUSGABEN AUS DEM LGF FÜR DIE ERNEUERUNG VON VERTRÄGEN</t>
  </si>
  <si>
    <t>700.300.20</t>
  </si>
  <si>
    <t>CONTRIBUTI IN C/ESERCIZIO DA PAB PER RINNOVI CONTRATTUALI EXTRA FSP</t>
  </si>
  <si>
    <t>BEITRÄGE DES LANDES FÜR LAUFENDE AUSGABEN FÜR DIE ERNEUERUNG VON VERTRÄGEN (AUSSERHALB DES LGF)</t>
  </si>
  <si>
    <t xml:space="preserve"> A.1.B.1.3</t>
  </si>
  <si>
    <t>Contributi da Regione o Prov. Aut. (extra fondo) - Risorse aggiuntive da bilancio regionale a titolo di copertura extra LEA</t>
  </si>
  <si>
    <t>A.1.B.1.3</t>
  </si>
  <si>
    <t>700.500.00</t>
  </si>
  <si>
    <t>CONTRIBUTI IN C/ESERCIZIO DA PAB PER RICERCA</t>
  </si>
  <si>
    <t>BEITRÄGE DES LANDES FÜR LAUFENDE AUSGABEN FÜR FORSCHUNG</t>
  </si>
  <si>
    <t>700.500.10</t>
  </si>
  <si>
    <t>A.1.C.3</t>
  </si>
  <si>
    <t>Contributi da Regione ed altri soggetti pubblici per ricerca</t>
  </si>
  <si>
    <t>A.1.c.3</t>
  </si>
  <si>
    <t>700.520.00</t>
  </si>
  <si>
    <t>ALTRI CONTRIBUTI IN C/ESERCIZIO DA PAB EXTRA FONDO</t>
  </si>
  <si>
    <t>ANDERE BEITRÄGE FÜR LAUFENDE AUSGABEN DES LANDES (ZUSÄTZLICHER FONDS)</t>
  </si>
  <si>
    <t>700.520.10</t>
  </si>
  <si>
    <t>A.1.B.1.4</t>
  </si>
  <si>
    <t>Contributi da Regione o Prov. Aut. (extra fondo) - Altro</t>
  </si>
  <si>
    <t>700.600.00</t>
  </si>
  <si>
    <t>RETTIFICA CONTRIBUTI C/ESERCIZIO PER DESTINAZIONE AD INVESTIMENTI</t>
  </si>
  <si>
    <t>BERICHTIGUNG BEITRÄGE FÜR LAUFENDE AUSGABEN FÜR ZUWEISUNG AN INVESTITIONEN</t>
  </si>
  <si>
    <t>700.600.10</t>
  </si>
  <si>
    <t>RETTIFICA CONTRIBUTI IN C/ESERCIZIO PER DESTINAZIONE AD INVESTIMENTI - DA PAB PER QUOTA FSP</t>
  </si>
  <si>
    <t>BERICHTIGUNG BEITRÄGE FÜR LAUFENDE AUSGABEN FÜR ZUWEISUNG AN INVESTITIONEN - VOM LAND, BETREFFEND DEN LGF</t>
  </si>
  <si>
    <t>A.2.A</t>
  </si>
  <si>
    <t>Rettifica contributi in c/esercizio per destinazione ad investimenti - da Regione o Prov. Aut. per quota F.S. regionale</t>
  </si>
  <si>
    <t>700.600.20</t>
  </si>
  <si>
    <t>RETTIFICA CONTRIBUTI IN C/ESERCIZIO PER DESTINAZIONE AD INVESTIMENTI - EXTRA FSP</t>
  </si>
  <si>
    <t>BERICHTIGUNG BEITRÄGE FÜR LAUFENDE AUSGABEN FÜR ZUWEISUNG AN INVESTITIONEN - AUSSERHALB LGF</t>
  </si>
  <si>
    <t>Rettifica contributi in c/esercizio per destinazione ad investimenti - altri contributi</t>
  </si>
  <si>
    <t>A.1.B.3.1</t>
  </si>
  <si>
    <t>Contributi da altri soggetti pubblici (extra fondo) vincolati</t>
  </si>
  <si>
    <t>710.300.00</t>
  </si>
  <si>
    <t>CONTRIBUTI IN C/ESERCIZIO DA MINISTERO DELLA SALUTE ED ALTRI SOGGETTI PER RICERCA</t>
  </si>
  <si>
    <t>KOSTEN FÜR DIE DIREKTE VERTEILUNG VON MEDIKAMENTEN - GESETZ N. 405/2001 ART. 8 BUCHST. A) - VON ÖFFENTLICHEN EINRICHTUNGEN (ANDERE ÖFFENTLICHE EINRICHTUNGEN DES LANDES)</t>
  </si>
  <si>
    <t>B.2.A.9.2</t>
  </si>
  <si>
    <t>Acquisto pretazioni di distribuzione farmaci File F - da pubblico (altri soggetti pubbl. Della Regione)</t>
  </si>
  <si>
    <t>400.960.10</t>
  </si>
  <si>
    <t>B.2.A.9.3</t>
  </si>
  <si>
    <t>400.960.15</t>
  </si>
  <si>
    <t>SPESE PER LA DISTRIBUZIONE DIRETTA DEI FARMACI - LEGGE N.405/2001 ART.8 LETT.A) - DA PRIVATO DELLA PAB</t>
  </si>
  <si>
    <t>KOSTEN FÜR DIE DIREKTE VERTEILUNG VON MEDIKAMENTEN - GESETZ N. 405/2001 ART. 8 BUCHST. A) - VON PRIVATEN DES LANDES</t>
  </si>
  <si>
    <t>B.2.A.9.4</t>
  </si>
  <si>
    <t>Acquisto pretazioni di distribuzione farmaci File F - da privato (intraregionale)</t>
  </si>
  <si>
    <t>B.2.A.7.3</t>
  </si>
  <si>
    <t>PRESTAZIONI DI RICOVERO DA  ALTRI SOGGETTI PUBBLICI DELLA PAB</t>
  </si>
  <si>
    <t>B.2.A.7.2</t>
  </si>
  <si>
    <t>B.2.A.16.5</t>
  </si>
  <si>
    <t>Costi per servizi sanitari - Mobilità internazionale passiva</t>
  </si>
  <si>
    <t>B.2.A.7.4.C</t>
  </si>
  <si>
    <t>Servizi sanitari per assistenza ospedaliera da Case di Cura private</t>
  </si>
  <si>
    <t>410.100.51</t>
  </si>
  <si>
    <t>51</t>
  </si>
  <si>
    <t>PRESTAZIONI DI RICOVERO DA IRCCS PRIVATI E POLICLINICI PRIVATI</t>
  </si>
  <si>
    <t>B.2.A.7.4.A</t>
  </si>
  <si>
    <t>Servizi sanitari per assistenza ospedaliera da IRCCS privati e Policlinici privati</t>
  </si>
  <si>
    <t>410.100.55</t>
  </si>
  <si>
    <t>B.2.A.7.5</t>
  </si>
  <si>
    <t xml:space="preserve"> da privato per cittadini non residenti - Extraregione (mobilità attiva in compensazione)</t>
  </si>
  <si>
    <t>GEWINN- UND VERLUSTRECHNUNG</t>
  </si>
  <si>
    <t>AUFWÄNDE</t>
  </si>
  <si>
    <t>COSTI</t>
  </si>
  <si>
    <t>300.000.00</t>
  </si>
  <si>
    <t>ACQUISTI DI BENI SANITARI</t>
  </si>
  <si>
    <t>300.100.00</t>
  </si>
  <si>
    <t>PRODOTTI FARMACEUTICI ED EMODERIVATI</t>
  </si>
  <si>
    <t>05</t>
  </si>
  <si>
    <t>PRODOTTI SANITARI PER USO VETERINARIO</t>
  </si>
  <si>
    <t>300.600.10</t>
  </si>
  <si>
    <t>310.000.00</t>
  </si>
  <si>
    <t>ACQUISTI DI BENI NON SANITARI</t>
  </si>
  <si>
    <t>310.100.00</t>
  </si>
  <si>
    <t>LEBENSMITTEL</t>
  </si>
  <si>
    <t>PRODOTTI ALIMENTARI</t>
  </si>
  <si>
    <t>310.100.10</t>
  </si>
  <si>
    <t>Prodotti alimentari</t>
  </si>
  <si>
    <t>02) Acq. Beni non San.</t>
  </si>
  <si>
    <t>B.1.b</t>
  </si>
  <si>
    <t>310.200.00</t>
  </si>
  <si>
    <t>TEXTILIEN, BEKLEIDUNG UND MATERIAL FÜR REINIGUNG UND HAUSHALT</t>
  </si>
  <si>
    <t>TESSILI, VESTIARIO E MATERIALI PER LA PULIZIA E DI CONVIVENZA</t>
  </si>
  <si>
    <t>310.200.10</t>
  </si>
  <si>
    <t>TEXTILIEN UND BEKLEIDUNG</t>
  </si>
  <si>
    <t xml:space="preserve">TESSILI E VESTIARIO </t>
  </si>
  <si>
    <t>Materiali di guardaroba, di pulizia e di convivenza in genere</t>
  </si>
  <si>
    <t>310.200.20</t>
  </si>
  <si>
    <t>MATERIAL FÜR REINIGUNG UND HAUSHALT</t>
  </si>
  <si>
    <t>490.700.41</t>
  </si>
  <si>
    <t>490.700.46</t>
  </si>
  <si>
    <t>490.700.61</t>
  </si>
  <si>
    <t>490.700.66</t>
  </si>
  <si>
    <t>B.8.A.1</t>
  </si>
  <si>
    <t>500.100.11</t>
  </si>
  <si>
    <t>B.8.A.2</t>
  </si>
  <si>
    <t>500.100.21</t>
  </si>
  <si>
    <t>B.8.B.1</t>
  </si>
  <si>
    <t>500.100.31</t>
  </si>
  <si>
    <t>B.8.B.2</t>
  </si>
  <si>
    <t>500.100.41</t>
  </si>
  <si>
    <t>500.200.11</t>
  </si>
  <si>
    <t>500.200.21</t>
  </si>
  <si>
    <t>500.300.11</t>
  </si>
  <si>
    <t>500.300.21</t>
  </si>
  <si>
    <t>500.600.11</t>
  </si>
  <si>
    <t>500.600.21</t>
  </si>
  <si>
    <t>500.600.31</t>
  </si>
  <si>
    <t>Quota imputata all'esercizio dei finanziamenti per investimenti dallo Stato</t>
  </si>
  <si>
    <t>A.7.C</t>
  </si>
  <si>
    <t>Quota imputata all'esercizio dei finanziamenti per beni di prima dotazione</t>
  </si>
  <si>
    <t>A.7.F</t>
  </si>
  <si>
    <t>Quota imputata all'esercizio di altre poste del patrimonio netto</t>
  </si>
  <si>
    <t>STATIONÄRE, TEILSTATIONÄRE UND ERGÄNZENDE REHABILITATIONSBETREUUNG FÜR DROGENABHÄNGIGE AUF DEM TERRITORIUM IM LAND</t>
  </si>
  <si>
    <t>STATIONÄRE, TEILSTATIONÄRE UND ERGÄNZENDE REHABILITATIONSBETREUUNG  FÜR DROGENABHÄNGIGE AUF DEM TERRITORIUM AUSSERHALB DES LANDES</t>
  </si>
  <si>
    <r>
      <t>Beträge</t>
    </r>
    <r>
      <rPr>
        <b/>
        <sz val="12"/>
        <rFont val="Verdana"/>
        <family val="2"/>
      </rPr>
      <t xml:space="preserve">: Euro    </t>
    </r>
  </si>
  <si>
    <t>A - Summe Güter + nicht-sanitäre Leistungen</t>
  </si>
  <si>
    <t>470.800.31</t>
  </si>
  <si>
    <t>470.800.36</t>
  </si>
  <si>
    <t>470.800.41</t>
  </si>
  <si>
    <t>470.800.46</t>
  </si>
  <si>
    <t>46</t>
  </si>
  <si>
    <t>470.800.51</t>
  </si>
  <si>
    <t>A.4.A.3.8</t>
  </si>
  <si>
    <t>Prestazioni trasporto ambulanze ed elisoccorso Extraregione</t>
  </si>
  <si>
    <t>720.200.28</t>
  </si>
  <si>
    <t>28</t>
  </si>
  <si>
    <t>A.4.A.3.10</t>
  </si>
  <si>
    <t>Ricavi per cessione di emocomponenti e cellule staminali Extraregione</t>
  </si>
  <si>
    <t>720.200.29</t>
  </si>
  <si>
    <t>29</t>
  </si>
  <si>
    <t>A.4.A.3.9</t>
  </si>
  <si>
    <t>720.250.00</t>
  </si>
  <si>
    <t>720.250.10</t>
  </si>
  <si>
    <t>A.4.B.1</t>
  </si>
  <si>
    <t>Prestazioni di ricovero da priv. Extraregione in compensazione (mobilità attiva)</t>
  </si>
  <si>
    <t>720.250.20</t>
  </si>
  <si>
    <t>A.4.B.2</t>
  </si>
  <si>
    <t>Prestazioni ambulatoriali da priv. Extraregione in compensazione  (mobilità attiva)</t>
  </si>
  <si>
    <t>720.250.40</t>
  </si>
  <si>
    <t>Altri beni e prodotti non sanitari</t>
  </si>
  <si>
    <t>Sanitätsbetrieb der Autonomen Provinz Bozen  
Azienda sanitaria della Provincia autonoma di Bolzano</t>
  </si>
  <si>
    <t>Wert 
valore</t>
  </si>
  <si>
    <t>%</t>
  </si>
  <si>
    <t>gruppo 
mastro 
conto</t>
  </si>
  <si>
    <t>gruppo</t>
  </si>
  <si>
    <t>mastro</t>
  </si>
  <si>
    <t>conto</t>
  </si>
  <si>
    <t>Codice Allegato 1</t>
  </si>
  <si>
    <t xml:space="preserve">Abschluss / Consuntivo </t>
  </si>
  <si>
    <t xml:space="preserve">Voranschlag / Preventivo </t>
  </si>
  <si>
    <t>A)</t>
  </si>
  <si>
    <t>10</t>
  </si>
  <si>
    <t>000</t>
  </si>
  <si>
    <t>00</t>
  </si>
  <si>
    <t>100</t>
  </si>
  <si>
    <t>200</t>
  </si>
  <si>
    <t>AA0110</t>
  </si>
  <si>
    <t>300</t>
  </si>
  <si>
    <t>400</t>
  </si>
  <si>
    <t>500</t>
  </si>
  <si>
    <t>AA0120</t>
  </si>
  <si>
    <t>20</t>
  </si>
  <si>
    <t>600</t>
  </si>
  <si>
    <t>33</t>
  </si>
  <si>
    <t>36</t>
  </si>
  <si>
    <t>E.2.B.5</t>
  </si>
  <si>
    <t>AKTIVSCHWUND</t>
  </si>
  <si>
    <t>560.200.11</t>
  </si>
  <si>
    <t>Insussistenze passive v/terzi relative alla mobilità extraregionale</t>
  </si>
  <si>
    <t>560.200.12</t>
  </si>
  <si>
    <t>INSUSSISTENZE DELL'ATTIVO RELATIVE AL PERSONALE</t>
  </si>
  <si>
    <t>AKTIVSCHWUND BETREFFEND DAS PERSONAL</t>
  </si>
  <si>
    <t>Insussistenze passive v/terzi relative al personale</t>
  </si>
  <si>
    <t>560.200.13</t>
  </si>
  <si>
    <t>INSUSSISTENZE DELL'ATTIVO RELATIVE ALLE CONVENZIONI CON MEDICI DI BASE</t>
  </si>
  <si>
    <t>AKTIVSCHWUND BETREFFEND DIE KONVENTIONEN FÜR GESUNDHEITLICHE GRUNDVERSORGUNG</t>
  </si>
  <si>
    <t>Insussistenze passive v/terzi relative alle convenzioni con medici di base</t>
  </si>
  <si>
    <t>560.200.14</t>
  </si>
  <si>
    <t>INSUSSISTENZE DELL'ATTIVO RELATIVE ALLE CONVENZIONI PER LA SPECIALISTICA</t>
  </si>
  <si>
    <t>AKTIVSCHWUND BETREFFEND DIE KONVENTIONEN FÜR FACHÄRZTLICHE BETREUUNG</t>
  </si>
  <si>
    <t>Insussistenze passive v/terzi relative alle convenzioni per la specialistica</t>
  </si>
  <si>
    <t>560.200.15</t>
  </si>
  <si>
    <t>480.100.21</t>
  </si>
  <si>
    <t>B.6.B.1</t>
  </si>
  <si>
    <t>480.100.31</t>
  </si>
  <si>
    <t>B.6.B.2</t>
  </si>
  <si>
    <t>480.100.41</t>
  </si>
  <si>
    <t>480.200.11</t>
  </si>
  <si>
    <t>480.200.21</t>
  </si>
  <si>
    <t>480.300.11</t>
  </si>
  <si>
    <t>480.300.21</t>
  </si>
  <si>
    <t>480.600.11</t>
  </si>
  <si>
    <t>480.600.21</t>
  </si>
  <si>
    <t>480.600.31</t>
  </si>
  <si>
    <t>480.600.41</t>
  </si>
  <si>
    <t>480.700.36</t>
  </si>
  <si>
    <t>480.700.41</t>
  </si>
  <si>
    <t>480.700.46</t>
  </si>
  <si>
    <t>480.700.61</t>
  </si>
  <si>
    <t>480.700.66</t>
  </si>
  <si>
    <t>B.7.A.1</t>
  </si>
  <si>
    <t>490.100.11</t>
  </si>
  <si>
    <t>B.7.A.2</t>
  </si>
  <si>
    <t>490.100.21</t>
  </si>
  <si>
    <t>B.7.B.1</t>
  </si>
  <si>
    <t>490.100.31</t>
  </si>
  <si>
    <t>B.7.B.2</t>
  </si>
  <si>
    <t>490.100.41</t>
  </si>
  <si>
    <t>490.200.11</t>
  </si>
  <si>
    <t>Sopravvenienze attive v/terzi relative alle convenzioni con medici di base</t>
  </si>
  <si>
    <t>780.100.14</t>
  </si>
  <si>
    <t>SOPRAVVENIENZE ATTIVE V/TERZI RELATIVE ALLE CONVENZIONI PER LA SPECIALISTICA</t>
  </si>
  <si>
    <t>AUSSERORDENTLICHE ERTRÄGE GEGENÜBER DRITTEN BETREFFEND KONVENTIONEN FÜR FACHÄRZTLICHE BETREUUNG</t>
  </si>
  <si>
    <t>Sopravvenienze attive v/terzi relative alle convenzioni per la specialistica</t>
  </si>
  <si>
    <t>780.100.15</t>
  </si>
  <si>
    <t>SOPRAVVENIENZE ATTIVE V/TERZI RELATIVE ALL'ACQUISTO PRESTAZ. SANITARIE DA OPERATORI ACCREDITATI</t>
  </si>
  <si>
    <t>Sopravvenienze attive v/terzi relative all'acquisto prestaz. sanitarie da operatori accreditati</t>
  </si>
  <si>
    <t>780.100.16</t>
  </si>
  <si>
    <t>SOPRAVVENIENZE ATTIVE V/TERZI RELATIVE ALL'ACQUISTO DI BENI E SERVIZI</t>
  </si>
  <si>
    <t>AUSSERORDENTLICHE ERTRÄGE GEGENÜBER DRITTEN BETREFFEND ANKÄUFE VON GÜTERN UND DIENSTLEISTUNGEN</t>
  </si>
  <si>
    <t>Sopravvenienze attive v/terzi relative all'acquisto di beni e servizi</t>
  </si>
  <si>
    <t>780.100.17</t>
  </si>
  <si>
    <t xml:space="preserve">ALTRE SOPRAVVENIENZE ATTIVE </t>
  </si>
  <si>
    <t xml:space="preserve">ANDERE AUSSERORDENTLICHE ERTRÄGE </t>
  </si>
  <si>
    <t>780.200.11</t>
  </si>
  <si>
    <t>E.1.B.3.2.A</t>
  </si>
  <si>
    <t>Insussistenze attive v/terzi relative alla mobilità extraregionale</t>
  </si>
  <si>
    <t>780.200.12</t>
  </si>
  <si>
    <t>INSUSSISTENZE DEL PASSIVO RELATIVE AL PERSONALE</t>
  </si>
  <si>
    <t>PASSIVSCHWUND BETREFFEND DAS PERSONAL</t>
  </si>
  <si>
    <t>E.1.B.3.2.B</t>
  </si>
  <si>
    <t>Insussistenze attive v/terzi relative al personale</t>
  </si>
  <si>
    <t>780.200.13</t>
  </si>
  <si>
    <t>INSUSSISTENZE DEL PASSIVO RELATIVE ALLE CONVENZIONI CON MEDICI DI BASE</t>
  </si>
  <si>
    <t>PASSIVSCHWUND BETREFFEND DIE KONVENTIONEN FÜR GESUNDHEITLICHE GRUNDVERSORGUNG</t>
  </si>
  <si>
    <t>E.1.B.3.2.C</t>
  </si>
  <si>
    <t>Insussistenze attive v/terzi relative alle convenzioni con medici di base</t>
  </si>
  <si>
    <t>780.200.14</t>
  </si>
  <si>
    <t>INSUSSISTENZE DEL PASSIVO RELATIVE ALLE CONVENZIONI PER LA SPECIALISTICA</t>
  </si>
  <si>
    <t>PASSIVSCHWUND BETREFFEND DIE KONVENTIONEN FÜR FACHÄRZTLICHE BETREUUNG</t>
  </si>
  <si>
    <t>E.1.B.3.2.D</t>
  </si>
  <si>
    <t>Insussistenze attive v/terzi relative alle convenzioni per la specialistica</t>
  </si>
  <si>
    <t>780.200.15</t>
  </si>
  <si>
    <t>INSUSSISTENZE DEL PASSIVO RELATIVE ALL'ACQUISTO PRESTAZ. SANITARIE DA OPERATORI ACCREDITATI</t>
  </si>
  <si>
    <t>E.1.B.3.2.E</t>
  </si>
  <si>
    <t>Insussistenze attive v/terzi relative all'acquisto prestaz. sanitarie da operatori accreditati</t>
  </si>
  <si>
    <t>780.200.16</t>
  </si>
  <si>
    <t>INSUSSISTENZE DEL PASSIVO RELATIVE ALL'ACQUISTO DI BENI E SERVIZI</t>
  </si>
  <si>
    <t>PASSIVSCHWUND BETREFFEND DIE ANKÄUFE VON GÜTERN UND DIENSTLEISTUNGEN</t>
  </si>
  <si>
    <t>550</t>
  </si>
  <si>
    <t>Servizi sanitari per assistenza specialistica da IRCCS Privati e Policlinici privati</t>
  </si>
  <si>
    <t>390.150.13</t>
  </si>
  <si>
    <t>Servizi sanitari per assistenza specialistica da Case di Cura private</t>
  </si>
  <si>
    <t>390.150.20</t>
  </si>
  <si>
    <t>B.2.A.3.6</t>
  </si>
  <si>
    <t>da privato per cittadini non residenti - Extraregione (mobilità attiva in compensazione)</t>
  </si>
  <si>
    <t>390.150.30</t>
  </si>
  <si>
    <t>ASSISTENZA PROTESICA ART. 26, C. 3 L. 833/78 E DM 27 AGOSTO 1999, N. 332.</t>
  </si>
  <si>
    <t>B.2.A.6.4</t>
  </si>
  <si>
    <t>ASSISTENZA RIABILITATIVA RESIDENZIALE E SEMIRESIDENZIALE IN ISTITUTI COME SCHEMA TIPO ART. 26 L. 833/78 DA PRIVATO PAB</t>
  </si>
  <si>
    <t>Utilizzo fondi per quote inutilizzate contributi di esercizi precedenti da soggetti pubblici (extra fondo) vincolati</t>
  </si>
  <si>
    <t>710.400.20</t>
  </si>
  <si>
    <t>710.400.30</t>
  </si>
  <si>
    <t>UTILIZZO FONDI PER QUOTE INUTILIZZATE CONTRIBUTI DI ESERCIZI PRECEDENTI PER RICERCA</t>
  </si>
  <si>
    <t xml:space="preserve">VERWENDUNG RÜCKSTELLUNGEN FÜR NICHT VERWENDETE BEITRÄGE VERGANGENER GESCHÄFTSJAHRE FÜR FORSCHUNG </t>
  </si>
  <si>
    <t>A.3.C</t>
  </si>
  <si>
    <t>Utilizzo fondi per quote inutilizzate contributi di esercizi precedenti per ricerca</t>
  </si>
  <si>
    <t>710.400.40</t>
  </si>
  <si>
    <t>UTILIZZO FONDI PER QUOTE INUTILIZZATE CONTRIBUTI DI ESERCIZI PRECEDENTI DA PRIVATI</t>
  </si>
  <si>
    <t>VERWENDUNG RÜCKSTELLUNGEN FÜR NICHT VERWENDETE BEITRÄGE VERGANGENER GESCHÄFTSJAHRE VON PRIVATEN</t>
  </si>
  <si>
    <t>A.3.D</t>
  </si>
  <si>
    <t>Utilizzo fondi per quote inutilizzate contributi vincolati di esercizi precedenti da privati</t>
  </si>
  <si>
    <t>Altre prestazioni sanitarie e socio-sanitarie a rilevanza sanitaria non soggette a compensazione Extraregione</t>
  </si>
  <si>
    <t>A.4.a</t>
  </si>
  <si>
    <t>A.4.A.3.1</t>
  </si>
  <si>
    <t>720.100.22</t>
  </si>
  <si>
    <t>PSYCHIATRISCHE LEISTUNGEN IN WOHNSTÄTTEN UND ÜBERGANGSWOHNHEIMEN AN ÖFFENTLICHE SANITÄTSBETRIEBE AUSSERHALB DES LANDES</t>
  </si>
  <si>
    <t>A.4.A.3.3</t>
  </si>
  <si>
    <t>B.2.A.15.4.C</t>
  </si>
  <si>
    <t>Rimborso oneri stipendiali personale sanitario in comando da aziende di altre Regioni (Extraregione)</t>
  </si>
  <si>
    <t>B.2.A.15.4.B</t>
  </si>
  <si>
    <t>Rimborso oneri stipendiali personale sanitario in comando da Regioni, soggetti pubblici e da Università</t>
  </si>
  <si>
    <t>Rimborso oneri stipendiali personale non sanitario in comando da aziende di altre Regioni (Extraregione)</t>
  </si>
  <si>
    <t>B.2.B.2.4.B</t>
  </si>
  <si>
    <t>Rimborso oneri stipendiali personale non sanitario in comando da Regione, soggetti pubblici e da Università</t>
  </si>
  <si>
    <t>B.10</t>
  </si>
  <si>
    <t>COSTI DI RICERCA E DI SVILUPPO  - AMMORTAMENTI</t>
  </si>
  <si>
    <t>KOSTEN FÜR FORSCHUNG, ENTWICKLUNG - ABSCHREIBUNGEN</t>
  </si>
  <si>
    <t>COSTI DI RICERCA  E DI SVILUPPO  - AMMORTAMENTI</t>
  </si>
  <si>
    <t>520.300.20</t>
  </si>
  <si>
    <t>DIRITTI DI BREVETTO E DIRITTI DI UTILIZZAZIONE DELLE OPERE D'INGEGNO DERIVANTI DALL'ATTIVITÁ DI RICERCA - AMMORTAMENTI</t>
  </si>
  <si>
    <t>PATENTRECHTE UND RECHTE ZUR NUTZUNG VON GEISTESWERKEN AUS FORSCHUNGSTÄTIGKEIT - ABSCHREIBUNGEN</t>
  </si>
  <si>
    <t>520.600.05</t>
  </si>
  <si>
    <t>PUBBLICITÀ - AMMORTAMENTI</t>
  </si>
  <si>
    <t>WERBUNG - ABSCHREIBUNGEN</t>
  </si>
  <si>
    <t xml:space="preserve"> ALTRE IMMOBILIZZAZIONI - AMMORTAMENTI</t>
  </si>
  <si>
    <t>SONSTIGES ANLAGEVERMÖGEN - ABSCHREIBUNGEN</t>
  </si>
  <si>
    <t>520.600.20</t>
  </si>
  <si>
    <t>B.12.B</t>
  </si>
  <si>
    <t>Svalutazione delle immobilizzazioni immateriali e materiali</t>
  </si>
  <si>
    <t>B.15.A</t>
  </si>
  <si>
    <t>B.15.B</t>
  </si>
  <si>
    <t>Acc. Rinnovi contratt.: dirigenza medica</t>
  </si>
  <si>
    <t>Acc. Rinnovi contratt.: dirigenza non medica</t>
  </si>
  <si>
    <t>Acc. Rinnovi contratt.: comparto</t>
  </si>
  <si>
    <t>ACCANTONAMENTI AL FONDO ONERI PER RINNOVO ACCORDI PER IL PERSONALE CONVENZIONATO MMG/PLS/MCA</t>
  </si>
  <si>
    <t>ZUWEISUNGEN AN RÜCKSTELLUNGEN FÜR ERNEUERUNG DER ABKOMMEN MIT DEM VERTRAGSGEBUNDENEN PERSONAL (GESUNDHEITLICHE GRUNDVERSORGUNG)</t>
  </si>
  <si>
    <t xml:space="preserve"> Acc. Rinnovi convenzioni MMG/PLS/MCA</t>
  </si>
  <si>
    <t>535.500.20</t>
  </si>
  <si>
    <t>ACCANTONAMENTI AL FONDO ONERI PER RINNOVO ACCORDI PER IL PERSONALE CONVENZIONATO MEDICI SUMAI</t>
  </si>
  <si>
    <t>ZUWEISUNGEN AN RÜCKSTELLUNGEN FÜR ERNEUERUNG DER ABKOMMEN MIT DEM VERTRAGSGEBUNDENEN PERSONAL (SUMAI)</t>
  </si>
  <si>
    <t xml:space="preserve"> Acc. Rinnovi convenzioni medici Sumai</t>
  </si>
  <si>
    <t>ZUWEISUNGEN AN RÜCKSTELLUNGEN FÜR STREIFÄLLE DES BEDIENSTETEN PERSONALS</t>
  </si>
  <si>
    <t>535.700.30</t>
  </si>
  <si>
    <t>ACCANTONAMENTI PER RISCHI CONNESSI AD ACQUISTO PRESTAZIONI SANITARIE DA PRIVATO</t>
  </si>
  <si>
    <t>Accantonamenti per rischi connessi all'acquisto di prestazioni sanitarie da privato</t>
  </si>
  <si>
    <t>535.700.40</t>
  </si>
  <si>
    <t>ACCANTONAMENTI PER COPERTURA DIRETTA DEI RISCHI (AUTOASSICURAZIONE)</t>
  </si>
  <si>
    <t>ZUWEISUNGEN AN RÜCKSTELLUNGEN FÜR DIE DIREKTE ABDECKUNG VON RISIKEN (SELBSTVERSICHERUNG)</t>
  </si>
  <si>
    <t>Accantonamenti per copertura diretta dei rischi (autoassicurazione)</t>
  </si>
  <si>
    <t>535.800.00</t>
  </si>
  <si>
    <t>ACCANTONAMENTI PER QUOTE INUTILIZZATE DEI CONTRIBUTI VINCOLATI</t>
  </si>
  <si>
    <t xml:space="preserve">ZUWEISUNGEN AN RÜCKSTELLUNGEN FÜR NICHT VERWENDETE ZWECKGEBUNDENE BEITRÄGE </t>
  </si>
  <si>
    <t>535.800.10</t>
  </si>
  <si>
    <t>ACCANTONAMENTI PER QUOTE INUTILIZZATE DEI CONTRIBUTI VINCOLATI DA PAB DA FSP</t>
  </si>
  <si>
    <t>ZUWEISUNGEN AN RÜCKSTELLUNGEN FÜR NICHT VERWENDETE ZWECKGEBUNDENE BEITRÄGE DES LANDES AUS DEM LGF</t>
  </si>
  <si>
    <t>Accantonamenti per quote inutilizzate contributi da Regione e Prov. Aut. per quota F.S. vincolato</t>
  </si>
  <si>
    <t>535.800.15</t>
  </si>
  <si>
    <t>ACCANTONAMENTI PER QUOTE INUTILIZZATE DEI CONTRIBUTI VINCOLATI DA PAB EXTRA FSP</t>
  </si>
  <si>
    <t>ZUWEISUNGEN AN RÜCKSTELLUNGEN FÜR NICHT VERWENDETE ANTEILE VON ZWECKGEBUNDENEN BEITRÄGEN DES LANDES (AUSSERHALB DES LGF)</t>
  </si>
  <si>
    <t>Accantonamenti per quote inutilizzate contributi da soggetti pubblici (extra fondo) vincolati</t>
  </si>
  <si>
    <t>535.800.20</t>
  </si>
  <si>
    <t>535.800.30</t>
  </si>
  <si>
    <t>ACCANTONAMENTI PER QUOTE INUTILIZZATE DEI CONTRIBUTI PER RICERCA</t>
  </si>
  <si>
    <t>ZUWEISUNGEN AN RÜCKSTELLUNGEN FÜR NICHT VERWENDETE FORSCHUNGSBEITRÄGE</t>
  </si>
  <si>
    <t>C.3.A</t>
  </si>
  <si>
    <t>Interessi passivi su anticipazioni di cassa</t>
  </si>
  <si>
    <t>C.3.B</t>
  </si>
  <si>
    <t>C.3.C</t>
  </si>
  <si>
    <t>C.4.A</t>
  </si>
  <si>
    <t>ONERI STRAORDINARI</t>
  </si>
  <si>
    <t>560.100.11</t>
  </si>
  <si>
    <t>E.2.B.3.2.A</t>
  </si>
  <si>
    <t xml:space="preserve"> Sopravvenienze passive v/terzi relative alla mobilità extraregionale</t>
  </si>
  <si>
    <t>560.100.12</t>
  </si>
  <si>
    <t>SOPRAV. PASSIVE V/TERZI RELATIVE AL PERSONALE - DIRIGENZA MEDICA</t>
  </si>
  <si>
    <t>AUSSERORDENTLICHE AUFWÄNDE GEGENÜBER DRITTEN BETREFFEND ÄRZTLICHES LEITENDES PERSONAL</t>
  </si>
  <si>
    <t>E.2.B.3.2.B.1</t>
  </si>
  <si>
    <t>Soprav. passive v/terzi relative al personale - dirigenza medica</t>
  </si>
  <si>
    <t>560.100.13</t>
  </si>
  <si>
    <t>SOPRAV. PASSIVE V/TERZI RELATIVE AL PERSONALE - DIRIGENZA NON MEDICA</t>
  </si>
  <si>
    <t>AUSSERORDENTLICHE AUFWÄNDE GEGENÜBER DRITTEN BETREFFEND NICHTÄRZTLICHE LEITER</t>
  </si>
  <si>
    <t>E.2.B.3.2.B.2</t>
  </si>
  <si>
    <t>Soprav. passive v/terzi relative al personale - dirigenza non medica</t>
  </si>
  <si>
    <t>560.100.14</t>
  </si>
  <si>
    <t>SOPRAV. PASSIVE V/TERZI RELATIVE AL PERSONALE - COMPARTO</t>
  </si>
  <si>
    <t>AUSSERORDENTLICHE AUFWÄNDE GEGENÜBER DRITTEN BETREFFEND NICHTLEITENDES PERSONAL</t>
  </si>
  <si>
    <t>E.2.B.3.2.B.3</t>
  </si>
  <si>
    <t>Soprav. passive v/terzi relative al personale - comparto</t>
  </si>
  <si>
    <t>560.100.15</t>
  </si>
  <si>
    <t>SOPRAVVENIENZE PASSIVE V/TERZI RELATIVE ALLE CONVENZIONI CON MEDICI DI BASE</t>
  </si>
  <si>
    <t>AUSSERORDENTLICHE AUFWÄNDE GEGENÜBER DRITTEN BETREFFEND KONVENTIONEN FÜR GESUNDHEITLICHE GRUNDVERSORGUNG</t>
  </si>
  <si>
    <t>E.2.B.3.2.C</t>
  </si>
  <si>
    <t>Sopravvenienze passive v/terzi relative alle convenzioni con medici di base</t>
  </si>
  <si>
    <t>560.100.16</t>
  </si>
  <si>
    <t>SOPRAVVENIENZE PASSIVE V/TERZI RELATIVE ALLE CONVENZIONI PER LA SPECIALISTICA</t>
  </si>
  <si>
    <t>AUSSERORDENTLICHE AUFWÄNDE GEGENÜBER DRITTEN BETREFFEND KONVENTIONEN FÜR FACHÄRZTLICHE BETREUUNG</t>
  </si>
  <si>
    <t>E.2.B.3.2.D</t>
  </si>
  <si>
    <t>Sopravvenienze passive v/terzi relative alle convenzioni per la specialistica</t>
  </si>
  <si>
    <t>560.100.17</t>
  </si>
  <si>
    <t>SOPRAVVENIENZE PASSIVE V/TERZI RELATIVE ALL'ACQUISTO PRESTAZ. SANITARIE DA OPERATORI ACCREDITATI</t>
  </si>
  <si>
    <t>E.2.B.3.2.E</t>
  </si>
  <si>
    <t>Sopravvenienze passive v/terzi relative all'acquisto prestaz. sanitarie da operatori accreditati</t>
  </si>
  <si>
    <t>560.100.18</t>
  </si>
  <si>
    <t>SOPRAVVENIENZE PASSIVE V/TERZI RELATIVE ALL'ACQUISTO DI BENI E SERVIZI</t>
  </si>
  <si>
    <t>AUSSERORDENTLICHE AUFWÄNDE GEGENÜBER DRITTEN BETREFFEND ANKÄUFE VON GÜTERN UND DIENSTLEISTUNGEN</t>
  </si>
  <si>
    <t>E.2.B.3.2.F</t>
  </si>
  <si>
    <t>Sopravvenienze passive v/terzi relative all'acquisto di beni e servizi</t>
  </si>
  <si>
    <t>560.100.19</t>
  </si>
  <si>
    <t>19</t>
  </si>
  <si>
    <t>470.800.66</t>
  </si>
  <si>
    <t>66</t>
  </si>
  <si>
    <t>470.800.86</t>
  </si>
  <si>
    <t>86</t>
  </si>
  <si>
    <t>470.800.91</t>
  </si>
  <si>
    <t>470.800.96</t>
  </si>
  <si>
    <t>96</t>
  </si>
  <si>
    <t>B.6.A.1</t>
  </si>
  <si>
    <t>480.100.11</t>
  </si>
  <si>
    <t>B.6.A.2</t>
  </si>
  <si>
    <t>210</t>
  </si>
  <si>
    <t>DIENSTLEISTUNGEN FÜR INSTANDHALTUNG VON MÖBELN UND EINRICHTUNGEN</t>
  </si>
  <si>
    <t>B.2.B.1.2</t>
  </si>
  <si>
    <t>B.2.B.1.4</t>
  </si>
  <si>
    <t>Servizi di assistenza informatica</t>
  </si>
  <si>
    <t>B.2.A.11.2</t>
  </si>
  <si>
    <t>340.350.12</t>
  </si>
  <si>
    <t>SERVIZI DI TRASPORTO SANITARI DA PRIVATO - ELISOCCORSO</t>
  </si>
  <si>
    <t>B.2.A.11.4</t>
  </si>
  <si>
    <t>340.350.25</t>
  </si>
  <si>
    <t xml:space="preserve">SERVIZI DI TRASPORTO SANITARI DA PUBBLICO EXTRA PAB FATTURATI </t>
  </si>
  <si>
    <t>B.2.A.16.3</t>
  </si>
  <si>
    <t>Altri servizi sanitari e sociosanitari a rilevanza sanitaria da pubblico (Extraregione)</t>
  </si>
  <si>
    <t>340.350.26</t>
  </si>
  <si>
    <t>B.2.A.11.3</t>
  </si>
  <si>
    <t>da pubblico (Extraregione)</t>
  </si>
  <si>
    <t>B.2.B.1.6</t>
  </si>
  <si>
    <t>B.2.B.1.7</t>
  </si>
  <si>
    <t>B.2.A.15.2</t>
  </si>
  <si>
    <t>Consulenze sanitarie e sociosanit. da terzi - Altri soggetti pubblici</t>
  </si>
  <si>
    <t>B.2.A.15.3.B</t>
  </si>
  <si>
    <t>Altre consulenze sanitarie e sociosanitarie da privato</t>
  </si>
  <si>
    <t>B.2.B.2.2</t>
  </si>
  <si>
    <t>Consulenze non sanitarie da Terzi - Altri soggetti pubblici</t>
  </si>
  <si>
    <t xml:space="preserve">Consulenze, collaborazioni, interinale, altre prestazioni di lavoro non sanitarie </t>
  </si>
  <si>
    <t>B.2.B.2.3.A</t>
  </si>
  <si>
    <t xml:space="preserve">
B.2.A.12.4</t>
  </si>
  <si>
    <t>da privato (intraregionale)</t>
  </si>
  <si>
    <t>B.2.A.15.3.E</t>
  </si>
  <si>
    <t>Lavoro interninale - area sanitaria</t>
  </si>
  <si>
    <t>B.2.B.1.9</t>
  </si>
  <si>
    <t>B.2.B.1.10</t>
  </si>
  <si>
    <t>B.2.B.1.8</t>
  </si>
  <si>
    <t>Costi per assistenza MMG</t>
  </si>
  <si>
    <t>Costi per assistenza PLS</t>
  </si>
  <si>
    <t>B.2.A.1.1.C</t>
  </si>
  <si>
    <t>Costi per assistenza Continuità assistenziale</t>
  </si>
  <si>
    <t>360.900.20</t>
  </si>
  <si>
    <t>B.2.A.1.3</t>
  </si>
  <si>
    <t>da pubblico (Aziende sanitarie pubbliche Extraregione) - Mobilità extraregionale</t>
  </si>
  <si>
    <t>B.2.A.2.1</t>
  </si>
  <si>
    <t>370.200.00</t>
  </si>
  <si>
    <t>ACQUISTI DI SERVIZI PER ASSISTENZA FARMACEUTICA</t>
  </si>
  <si>
    <t>ANKAUF LEISTUNGEN FÜR PHARMAZEUTISCHE BETREUUNG</t>
  </si>
  <si>
    <t>370.200.11</t>
  </si>
  <si>
    <t>B.2.A.2.3</t>
  </si>
  <si>
    <t>Accantonamenti per premio di operosità (SUMAI)</t>
  </si>
  <si>
    <t>Servizi sanitari per assistenza specialistica da altri privati</t>
  </si>
  <si>
    <t>ASSISTENZA SPECIALISTICA ESTERNA DA CASE DI CURA PRIVATE CONVENZIONATE</t>
  </si>
  <si>
    <t>EXTERNE FACHÄRZTLICHE BETREUUNG VON ANDEREN PRIVATEN</t>
  </si>
  <si>
    <t>390.150.00</t>
  </si>
  <si>
    <t>ACQUISTI SERVIZI PER ASSISTENZA SPECIALISTICA ESTERNA</t>
  </si>
  <si>
    <t>ANKAUF LEISTUNGEN FÜR EXTERNE FACHÄRZTLICHE BETREUUNG</t>
  </si>
  <si>
    <t>390.150.10</t>
  </si>
  <si>
    <t>EXTERNE FACHÄRZTLICHE BETREUUNG VON SANITÄTSBETRIEBEN AUSSERHALB DES LANDES DIREKT VERRECHNET</t>
  </si>
  <si>
    <t>390.150.11</t>
  </si>
  <si>
    <t>390.150.12</t>
  </si>
  <si>
    <t>BEITRÄGE FÜR LAUFENDE AUSGABEN VOM GESUNDHEITSMINISTERIUM UND ANDEREN KÖRPERSCHAFTEN FÜR FORSCHUNG</t>
  </si>
  <si>
    <t>710.300.10</t>
  </si>
  <si>
    <t>CONTRIBUTI IN C/ESERCIZIO DA MINISTERO DELLA SALUTE PER RICERCA CORRENTE</t>
  </si>
  <si>
    <t>BEITRÄGE FÜR LAUFENDE AUSGABEN VOM GESUNDHEITSMINISTERIUM FÜR LAUFENDE FORSCHUNG</t>
  </si>
  <si>
    <t>A.1.C.1</t>
  </si>
  <si>
    <t>Contributi da Ministero della salute per ricerca corrente</t>
  </si>
  <si>
    <t>710.300.20</t>
  </si>
  <si>
    <t>CONTRIBUTI IN C/ESERCIZIO DA MINISTERO DELLA SALUTE PER RICERCA FINALIZZATA</t>
  </si>
  <si>
    <t>BEITRÄGE FÜR LAUFENDE AUSGABEN VOM GESUNDHEITSMINISTERIUM FÜR ZIELGERICHTETE FORSCHUNG</t>
  </si>
  <si>
    <t>A.1.C.2</t>
  </si>
  <si>
    <t xml:space="preserve">Contributi da Ministero della salute per ricerca finalizzata </t>
  </si>
  <si>
    <t>A.1.c.2</t>
  </si>
  <si>
    <t>710.300.30</t>
  </si>
  <si>
    <t xml:space="preserve">CONTRIBUTI IN C/ESERCIZIO DA ALTRI SOGGETTI PUBBLICI PER RICERCA </t>
  </si>
  <si>
    <t>BEITRÄGE FÜR LAUFENDE AUSGABEN VON ANDEREN ÖFFENTLICHEN KÖRPERSCHAFTEN FÜR FORSCHUNG</t>
  </si>
  <si>
    <t>710.300.40</t>
  </si>
  <si>
    <t xml:space="preserve">CONTRIBUTI IN C/ESERCIZIO DA PRIVATI PER RICERCA </t>
  </si>
  <si>
    <t>BEITRÄGE FÜR LAUFENDE AUSGABEN VON PRIVATEN FÜR FORSCHUNG</t>
  </si>
  <si>
    <t>A.1.C.4</t>
  </si>
  <si>
    <t>Contributi da privati per ricerca</t>
  </si>
  <si>
    <t>A.1.c.4</t>
  </si>
  <si>
    <t>710.350.00</t>
  </si>
  <si>
    <t xml:space="preserve">CONTRIBUTI IN C/ESERCIZIO DA PRIVATI </t>
  </si>
  <si>
    <t>BEITRÄGE FÜR LAUFENDE AUSGABEN VON PRIVATEN</t>
  </si>
  <si>
    <t>710.350.10</t>
  </si>
  <si>
    <t xml:space="preserve">A.1.D </t>
  </si>
  <si>
    <t>Contributi c/esercizio da privati</t>
  </si>
  <si>
    <t>710.400.00</t>
  </si>
  <si>
    <t>UTILIZZO FONDI PER QUOTE INUTILIZZATE CONTRIBUTI VINCOLATI DI ESERCIZI PRECEDENTI</t>
  </si>
  <si>
    <t>VERWENDUNG RÜCKSTELLUNGEN FÜR NICHT VERWENDETE ZWECKGEBUNDENE BEITRÄGE VERGANGENER GESCHÄFTSJAHRE</t>
  </si>
  <si>
    <t>710.400.10</t>
  </si>
  <si>
    <t>UTILIZZO FONDI PER QUOTE INUTILIZZATE CONTRIBUTI VINCOLATI DI ESERCIZI PRECEDENTI DA PAB PER FSP</t>
  </si>
  <si>
    <t xml:space="preserve">VERWENDUNG RÜCKSTELLUNGEN FÜR NICHT VERWENDETE ZWECKGEBUNDENE BEITRÄGE DES LANDES AUS LGF VERGANGENER GESCHÄFTSJAHRE </t>
  </si>
  <si>
    <t>A.3.A</t>
  </si>
  <si>
    <t>Utilizzo fondi per quote inutilizzate contributi di esercizi precedenti da Regione o Prov. Aut. per quota F.S. regionale vincolato</t>
  </si>
  <si>
    <t>A.3</t>
  </si>
  <si>
    <t>710.400.15</t>
  </si>
  <si>
    <t>UTILIZZO FONDI PER QUOTE INUTILIZZATE CONTRIBUTI VINCOLATI DI ESERCIZI PRECEDENTI DA PAB EXTRA FSP</t>
  </si>
  <si>
    <t>VERWENDUNG RÜCKSTELLUNGEN FÜR NICHT VERWENDETE ZWECKGEBUNDENE BEITRÄGE DES LANDES VERGANGENER GESCHÄFTSJAHRE AUSSERHALB DES LGF</t>
  </si>
  <si>
    <t>A.3.B</t>
  </si>
  <si>
    <t>BETEILIGUNGEN AN DAS PERSONAL FÜR FREIBERUFLICHE LEISTUNGEN - SONSTIGES</t>
  </si>
  <si>
    <t>B.2.A.13.6</t>
  </si>
  <si>
    <t>Compartecipazione al personale per att. libero professionale intramoenia- Altro</t>
  </si>
  <si>
    <t>510.100.50</t>
  </si>
  <si>
    <t>ZUSÄTZLICHE LEISTUNGEN, DIE VOM ÄRZTLICHEN PERSONAL FÜR FREIBERUFLICHE TÄTIGKEIT ERBRACHT WERDEN - FACHARZTBEREICH</t>
  </si>
  <si>
    <t xml:space="preserve">EXTERNES TECHNISCHES PERSONAL - BEFRISTET  </t>
  </si>
  <si>
    <t>B.5.A.1.3</t>
  </si>
  <si>
    <t>Costo del personale dirigente medico - altro</t>
  </si>
  <si>
    <t>B.2.A.15.3.C</t>
  </si>
  <si>
    <t>B.2.B.2.3.B</t>
  </si>
  <si>
    <t>B.2.B.2.3.E</t>
  </si>
  <si>
    <t>Altre collaborazioni e prestazioni di lavoro - area non sanitaria</t>
  </si>
  <si>
    <t>B.2.A.15.3.F</t>
  </si>
  <si>
    <t xml:space="preserve">Altre collaborazioni e prestazioni di lavoro - area sanitaria </t>
  </si>
  <si>
    <t>B.2.B.3.2</t>
  </si>
  <si>
    <t>B.2.B.3.1</t>
  </si>
  <si>
    <t>COMPENSI PER IL PERSONALE COMANDATO ALL'AZIENDA</t>
  </si>
  <si>
    <t>A.1.b.5</t>
  </si>
  <si>
    <t>5)</t>
  </si>
  <si>
    <t>Contributi da aziende sanitarie pubbliche (extra fondo)</t>
  </si>
  <si>
    <t>A.1.b.6</t>
  </si>
  <si>
    <t>6)</t>
  </si>
  <si>
    <t>Contributi da altri soggetti pubblici</t>
  </si>
  <si>
    <t>c)</t>
  </si>
  <si>
    <t>Contributi in c/esercizio - per ricerca</t>
  </si>
  <si>
    <t>A.1.c.1</t>
  </si>
  <si>
    <t>da Ministero della Salute per ricerca corrente</t>
  </si>
  <si>
    <t>da Ministero della Salute per ricerca finalizzata</t>
  </si>
  <si>
    <t>da Regione e altri soggetti pubblici</t>
  </si>
  <si>
    <t>da privati</t>
  </si>
  <si>
    <t>A.1.d</t>
  </si>
  <si>
    <t>d)</t>
  </si>
  <si>
    <t>Contributi in c/esercizio - da privati</t>
  </si>
  <si>
    <t>A.2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</si>
  <si>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</si>
  <si>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</si>
  <si>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</si>
  <si>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A.2.4.a</t>
  </si>
  <si>
    <t>Ricavi per prestazioni sanitarie e sociosanitarie - ad aziende sanitarie pubbliche</t>
  </si>
  <si>
    <t>A.2.4.b</t>
  </si>
  <si>
    <t>Ricavi per prestazioni sanitarie e sociosanitarie - intramoenia</t>
  </si>
  <si>
    <t>A.2.4.c</t>
  </si>
  <si>
    <t>Ricavi per prestazioni sanitarie e sociosanitarie - altro</t>
  </si>
  <si>
    <t>A.5</t>
  </si>
  <si>
    <t>Concorsi, recuperi e rimborsi</t>
  </si>
  <si>
    <t>A.6</t>
  </si>
  <si>
    <t>Compartecipazione alla spesa per prestazioni sanitarie (Ticket)</t>
  </si>
  <si>
    <t>A.7</t>
  </si>
  <si>
    <t>7)</t>
  </si>
  <si>
    <t>Quota contributi in c/capitale imputata nell'esercizio</t>
  </si>
  <si>
    <t>A.8</t>
  </si>
  <si>
    <t>8)</t>
  </si>
  <si>
    <t>Incrementi delle immobilizzazioni per lavori interni</t>
  </si>
  <si>
    <t>A.9</t>
  </si>
  <si>
    <t>9)</t>
  </si>
  <si>
    <t>Altri ricavi e proventi</t>
  </si>
  <si>
    <t>Totale A)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</si>
  <si>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</si>
  <si>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</si>
  <si>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</si>
  <si>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</si>
  <si>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</si>
  <si>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</si>
  <si>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</si>
  <si>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</si>
  <si>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</si>
  <si>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</si>
  <si>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</si>
  <si>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</si>
  <si>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t>Acquisti di servizi sanitari per assistenza ospedaliera</t>
  </si>
  <si>
    <t>h)</t>
  </si>
  <si>
    <t>Acquisti prestazioni di psichiatrica residenziale e semiresidenziale</t>
  </si>
  <si>
    <t>i)</t>
  </si>
  <si>
    <t>Acquisti prestazioni di distribuzione farmaci File F</t>
  </si>
  <si>
    <t>B.2.j</t>
  </si>
  <si>
    <t>j)</t>
  </si>
  <si>
    <t>Acquisti prestazioni termali in convenzione</t>
  </si>
  <si>
    <t>B.2.k</t>
  </si>
  <si>
    <t>k)</t>
  </si>
  <si>
    <t>Acquisti prestazioni di trasporto sanitario</t>
  </si>
  <si>
    <t>B.2.l</t>
  </si>
  <si>
    <t>l)</t>
  </si>
  <si>
    <t>Acquisti prestazioni  socio-sanitarie a rilevanza sanitaria</t>
  </si>
  <si>
    <t>B.2.m</t>
  </si>
  <si>
    <t>m)</t>
  </si>
  <si>
    <t>B.2.n</t>
  </si>
  <si>
    <t>n)</t>
  </si>
  <si>
    <t>Rimborsi Assegni e contributi sanitari</t>
  </si>
  <si>
    <t>B.2.o</t>
  </si>
  <si>
    <t>o)</t>
  </si>
  <si>
    <t>470.200.21</t>
  </si>
  <si>
    <t>470.200.31</t>
  </si>
  <si>
    <t>470.300.11</t>
  </si>
  <si>
    <t>470.300.21</t>
  </si>
  <si>
    <t>470.300.31</t>
  </si>
  <si>
    <t>470.600.11</t>
  </si>
  <si>
    <t>470.600.21</t>
  </si>
  <si>
    <t>470.700.11</t>
  </si>
  <si>
    <t>470.700.21</t>
  </si>
  <si>
    <t>A.4.B.4</t>
  </si>
  <si>
    <t>Altre prestazioni sanitarie e sociosanitarie a rilevanza sanitaria erogate da privati v/residenti Extraregione in compensazione (mobilità attiva)</t>
  </si>
  <si>
    <t>A.9.C</t>
  </si>
  <si>
    <t>A.9.A</t>
  </si>
  <si>
    <t>RICAVI PER PRESTAZIONI VETERINARIE AREA A EROGATE A SOGGETTI PRIVATI</t>
  </si>
  <si>
    <t>ERLÖSE AUS TIERÄRZTLICHEN LEISTUNGEN BEREICH A FÜR PRIVATE</t>
  </si>
  <si>
    <t>720.600.15</t>
  </si>
  <si>
    <t>RICAVI PER PRESTAZIONI VETERINARIE AREA A EROGATE A SOGGETTI PUBBLICI</t>
  </si>
  <si>
    <t>ERLÖSE AUS TIERÄRZTLICHEN LEISTUNGEN BEREICH A FÜR ÖFFENTLICHE EINRICHTUNGEN</t>
  </si>
  <si>
    <t>RICAVI PER PRESTAZIONI VETERINARIE AREA B EROGATE A SOGGETTI PRIVATI</t>
  </si>
  <si>
    <t>300.100.12</t>
  </si>
  <si>
    <t>MEDICINALI CON AIC, AD ECCEZIONE DI VACCINI ED EMODERIVATI DI PRODUZIONE REGIONALE</t>
  </si>
  <si>
    <t>B.1.A.1.1</t>
  </si>
  <si>
    <t xml:space="preserve">B.1.a </t>
  </si>
  <si>
    <t>300.100.22</t>
  </si>
  <si>
    <t xml:space="preserve">PRODOTTI FARMACEUTICI DISTRIBUZIONE PER CONTO LEGGE N.405/2001 ART.8 LETT.A) </t>
  </si>
  <si>
    <t>300.100.25</t>
  </si>
  <si>
    <t>MEDICINALI SENZA AIC</t>
  </si>
  <si>
    <t>PHARMAZEUTISCHE PRODUKTE OHNE AIC</t>
  </si>
  <si>
    <t>B.1.A.1.2</t>
  </si>
  <si>
    <t>Medicinali senza AIC</t>
  </si>
  <si>
    <t>300.100.32</t>
  </si>
  <si>
    <t>300.100.33</t>
  </si>
  <si>
    <t>300.100.41</t>
  </si>
  <si>
    <t>B.1.A.1.3</t>
  </si>
  <si>
    <t>300.110.00</t>
  </si>
  <si>
    <t>SANGUE ED EMOCOMPONENTI</t>
  </si>
  <si>
    <t>300.110.10</t>
  </si>
  <si>
    <t>B.1.A.2.2</t>
  </si>
  <si>
    <t>da pubblico (Aziende sanitarie pubbliche extra Regione) – Mobilità extraregionale</t>
  </si>
  <si>
    <t>300.110.20</t>
  </si>
  <si>
    <t>SANGUE ED EMOCOMPONENTI DA ALTRI SOGGETTI</t>
  </si>
  <si>
    <t>B.1.A.2.3</t>
  </si>
  <si>
    <t>da altri soggetti</t>
  </si>
  <si>
    <t>B.1.A.4</t>
  </si>
  <si>
    <t xml:space="preserve"> Prodotti dietetici</t>
  </si>
  <si>
    <t>300.200.12</t>
  </si>
  <si>
    <t>MATERIALI PER LA PROFILASSI (VACCINI)</t>
  </si>
  <si>
    <t>MATERIAL FÜR DIE PROPHYLAXE (IMPFSTOFFE)</t>
  </si>
  <si>
    <t>B.1.A.5</t>
  </si>
  <si>
    <t xml:space="preserve"> Materiali per la profilassi (vaccini)</t>
  </si>
  <si>
    <t>300.320.00</t>
  </si>
  <si>
    <t xml:space="preserve">PRODOTTI CHIMICI </t>
  </si>
  <si>
    <t>300.320.10</t>
  </si>
  <si>
    <t>PRODOTTI CHIMICI</t>
  </si>
  <si>
    <t>CHEMISCHE PRODUKTE</t>
  </si>
  <si>
    <t>B.1.A.6</t>
  </si>
  <si>
    <t>300.450.00</t>
  </si>
  <si>
    <t>DISPOSITIVI MEDICI</t>
  </si>
  <si>
    <t>MEDIZINPRODUKTE</t>
  </si>
  <si>
    <t>300.450.10</t>
  </si>
  <si>
    <t>B.1.A.3.1</t>
  </si>
  <si>
    <t>300.450.20</t>
  </si>
  <si>
    <t>DISPOSITIVI MEDICI IMPIANTABILI ATTIVI</t>
  </si>
  <si>
    <t>AKTIVE IMPLANTIERBARE MEDIZINISCHE GERÄTE</t>
  </si>
  <si>
    <t>B.1.A.3.2</t>
  </si>
  <si>
    <t>Dispositivi medici impiantabili attivi</t>
  </si>
  <si>
    <t>300.450.30</t>
  </si>
  <si>
    <t>DISPOSITIVI MEDICO DIAGNOSTICI IN VITRO (IVD)</t>
  </si>
  <si>
    <t>IN-VITRO-DIAGNOSTIKA (IVD)</t>
  </si>
  <si>
    <t>B.1.A.3.3</t>
  </si>
  <si>
    <t>Dispositivi medico diagnostici in vitro (IVD)</t>
  </si>
  <si>
    <t>riserve da riporto utili</t>
  </si>
  <si>
    <t>INSGESAMTE KOSTEN</t>
  </si>
  <si>
    <t>INSGESAMTE ERLÖSE</t>
  </si>
  <si>
    <t>WIRTSCHAFTLICHES ERGEBNIS</t>
  </si>
  <si>
    <r>
      <t>S</t>
    </r>
    <r>
      <rPr>
        <b/>
        <sz val="12"/>
        <rFont val="Verdana"/>
        <family val="2"/>
      </rPr>
      <t>CHEMA</t>
    </r>
    <r>
      <rPr>
        <b/>
        <sz val="14"/>
        <rFont val="Verdana"/>
        <family val="2"/>
      </rPr>
      <t xml:space="preserve"> D</t>
    </r>
    <r>
      <rPr>
        <b/>
        <sz val="12"/>
        <rFont val="Verdana"/>
        <family val="2"/>
      </rPr>
      <t xml:space="preserve">I </t>
    </r>
    <r>
      <rPr>
        <b/>
        <sz val="14"/>
        <rFont val="Verdana"/>
        <family val="2"/>
      </rPr>
      <t>B</t>
    </r>
    <r>
      <rPr>
        <b/>
        <sz val="12"/>
        <rFont val="Verdana"/>
        <family val="2"/>
      </rPr>
      <t>ILANCIO</t>
    </r>
    <r>
      <rPr>
        <b/>
        <sz val="14"/>
        <rFont val="Verdana"/>
        <family val="2"/>
      </rPr>
      <t xml:space="preserve">
</t>
    </r>
    <r>
      <rPr>
        <i/>
        <sz val="14"/>
        <rFont val="Verdana"/>
        <family val="2"/>
      </rPr>
      <t>Decreto Interministeriale del 20 marzo 2013</t>
    </r>
  </si>
  <si>
    <r>
      <t xml:space="preserve">BILANZSCHEMA
</t>
    </r>
    <r>
      <rPr>
        <i/>
        <sz val="14"/>
        <rFont val="Verdana"/>
        <family val="2"/>
      </rPr>
      <t>Interministerielles Dekret vom 20. März 2013</t>
    </r>
  </si>
  <si>
    <t>Beiträge von anderen öffentlichen Subjekten</t>
  </si>
  <si>
    <t>340.900.45</t>
  </si>
  <si>
    <t>RIMBORSO SPESE AL PERSONALE DIPENDENTE</t>
  </si>
  <si>
    <t>SPESENRÜCKVERGÜTUNGEN AN DAS BEDIENSTETE PERSONAL</t>
  </si>
  <si>
    <t>490.200.21</t>
  </si>
  <si>
    <t>490.300.11</t>
  </si>
  <si>
    <t>490.300.21</t>
  </si>
  <si>
    <t>490.600.11</t>
  </si>
  <si>
    <t>490.600.21</t>
  </si>
  <si>
    <t>490.600.31</t>
  </si>
  <si>
    <t>490.600.41</t>
  </si>
  <si>
    <t>490.700.11</t>
  </si>
  <si>
    <t>490.700.16</t>
  </si>
  <si>
    <t>490.700.21</t>
  </si>
  <si>
    <t>490.700.26</t>
  </si>
  <si>
    <t>490.700.31</t>
  </si>
  <si>
    <t>490.700.36</t>
  </si>
  <si>
    <t>E.1.B.3.2.F</t>
  </si>
  <si>
    <t>Insussistenze attive v/terzi relative all'acquisto di beni e servizi</t>
  </si>
  <si>
    <t>780.200.17</t>
  </si>
  <si>
    <t>ALTRE INSUSSISTENZE DEL PASSIVO</t>
  </si>
  <si>
    <t>SONSTIGER PASSIVSCHWUND</t>
  </si>
  <si>
    <t>E.1.A</t>
  </si>
  <si>
    <t>A.7.B</t>
  </si>
  <si>
    <t>Quota imputata all'esercizio dei finanziamenti per investimenti da Regione</t>
  </si>
  <si>
    <t>810.300.20</t>
  </si>
  <si>
    <t>UTILIZZO QUOTA DEGLI ALTRI CONTRIBUTI IN C/ESERCIZIO DESTINATI AD INVESTIMENTI DA PAB PER QUOTA F.S.P</t>
  </si>
  <si>
    <t xml:space="preserve">VERWENDUNG VON ANTEILEN VON ANDEREN BEITRÄGEN FÜR LAUFENDE AUSGABEN, DIE FÜR INVESTITIONEN ZUGEWIESEN WURDEN,  VOM LAND, BETREFFEND DEN L.G.F. </t>
  </si>
  <si>
    <t>A.7.D</t>
  </si>
  <si>
    <t>Quota imputata all'esercizio dei contributi in c/esercizio FSR destinati ad investimenti</t>
  </si>
  <si>
    <t>810.300.30</t>
  </si>
  <si>
    <t>UTILIZZO QUOTA DEGLI ALTRI CONTRIBUTI IN C/ESERCIZIO DESTINATI AD INVESTIMENTI  - EXTRA FONDO</t>
  </si>
  <si>
    <t>VERWENDUNG VON ANTEILEN VON ANDEREN BEITRÄGEN FÜR LAUFENDE AUSGABEN, DIE FÜR INVESTITIONEN ZUGEWIESEN WURDEN - AUSSERHALB L.G.F.</t>
  </si>
  <si>
    <t>A.7.E</t>
  </si>
  <si>
    <t>Quota imputata all'esercizio degli altri contributi in c/esercizio destinati ad investimenti</t>
  </si>
  <si>
    <t>810.300.40</t>
  </si>
  <si>
    <t>UTILIZZO QUOTA IMPUTATA ALL'ESERCIZIO DEI FINANZIAMENTI PER INVESTIMENTO DALLO STATO</t>
  </si>
  <si>
    <t>VERWENDUNG VON ANTEILEN VON FINANZIERUNGEN FÜR INVESTITIONEN VOM STAAT, DIE DEM GESCHÄFTSJAHR ZUGEORDNET WERDEN</t>
  </si>
  <si>
    <t>A.7.A</t>
  </si>
  <si>
    <t>B.2.A.16.4</t>
  </si>
  <si>
    <t>B.2.A.14.5</t>
  </si>
  <si>
    <t>B.2.A.14.2</t>
  </si>
  <si>
    <t>RIMBORSI  PER PARTO A DOMICILIO (LP 33/88 ART.21)</t>
  </si>
  <si>
    <t>B.2.A.14.1</t>
  </si>
  <si>
    <t>420.230.20</t>
  </si>
  <si>
    <t>B.4.A</t>
  </si>
  <si>
    <t>Fitti passivi</t>
  </si>
  <si>
    <t>B.4.B.2</t>
  </si>
  <si>
    <t>B.4.C.1</t>
  </si>
  <si>
    <t>B.4.C.2</t>
  </si>
  <si>
    <t>B.9.C.1</t>
  </si>
  <si>
    <t>B.9.C.2</t>
  </si>
  <si>
    <t>E.2.B.2</t>
  </si>
  <si>
    <t>Oneri da cause civili ed oneri processuali</t>
  </si>
  <si>
    <t>ABONNEMENTS</t>
  </si>
  <si>
    <t>B.2.B.1.11.A</t>
  </si>
  <si>
    <t>B.2.B.1.11.B</t>
  </si>
  <si>
    <t>B.5.A.1.1</t>
  </si>
  <si>
    <t>470.100.11</t>
  </si>
  <si>
    <t>B.5.A.1.2</t>
  </si>
  <si>
    <t>470.100.21</t>
  </si>
  <si>
    <t>B.5.A.2.1</t>
  </si>
  <si>
    <t>470.100.31</t>
  </si>
  <si>
    <t>B.5.A.2.2</t>
  </si>
  <si>
    <t>470.100.41</t>
  </si>
  <si>
    <t>B.5.B.1</t>
  </si>
  <si>
    <t>470.100.51</t>
  </si>
  <si>
    <t>B.5.B.2</t>
  </si>
  <si>
    <t>470.100.61</t>
  </si>
  <si>
    <t>470.200.11</t>
  </si>
  <si>
    <t>Prestazioni di File F</t>
  </si>
  <si>
    <t>720.200.27</t>
  </si>
  <si>
    <t>Abzüglich Landes- und Staatsbeiträge</t>
  </si>
  <si>
    <t>Meno entrate Contributi PAB o Stato</t>
  </si>
  <si>
    <t>330.500.10</t>
  </si>
  <si>
    <t>B.3.D</t>
  </si>
  <si>
    <t>420.140.20</t>
  </si>
  <si>
    <t>RIMBORSI PER PRESTAZIONI SPECIALISTICHE ALL'ESTERO</t>
  </si>
  <si>
    <t>RÜCKVERGÜTUNGEN FÜR FACHÄRZTLICHE LEISTUNGEN IM AUSLAND</t>
  </si>
  <si>
    <t>Rimborsi, assegni e contributi sanitari</t>
  </si>
  <si>
    <t>CONVENZIONI PER ASSISTENZA FARMACEUTICA - FARMACIE PRIVATE</t>
  </si>
  <si>
    <t>KONVENTIONEN FÜR PHARMAZEUTISCHE BETREUUNG - PRIVATE APOTHEKEN</t>
  </si>
  <si>
    <t>CONVENZIONI PER ASSISTENZA FARMACEUTICA - FARMACIE COMUNALI</t>
  </si>
  <si>
    <t>KONVENTIONEN FÜR PHARMAZEUTISCHE BETREUUNG - GEMEINDEAPOTHEKEN</t>
  </si>
  <si>
    <t>RIMBORSI PER PRESTAZIONI SPECIALISTICHE IN ITALIA</t>
  </si>
  <si>
    <t>RÜCKERSTATTUNGEN FÜR FACHÄRZTLICHE LEISTUNGEN IN ITALIEN</t>
  </si>
  <si>
    <t>IVA INDETRAIBILE EX ART. 19 C. 3 DPR 633/72</t>
  </si>
  <si>
    <t>NICHT ABZIEHBARE MWST GEM. EX-ART.19 ABS. 3, DPR 633/72</t>
  </si>
  <si>
    <t>VORANSCHLAG</t>
  </si>
  <si>
    <t>PREVENTIVO</t>
  </si>
  <si>
    <t>GESUNDHEITSMINISTERIUM</t>
  </si>
  <si>
    <t>Generaldirektion der Sanitätsprogrammierung</t>
  </si>
  <si>
    <t>Generaldirektion des Informationsystem und sanitäres Amt für Statistik</t>
  </si>
  <si>
    <t>STRUKTUR</t>
  </si>
  <si>
    <t>ZEITRAUM</t>
  </si>
  <si>
    <t xml:space="preserve"> REGION</t>
  </si>
  <si>
    <t>BETRIEB</t>
  </si>
  <si>
    <t xml:space="preserve">    HAUSHALTSPLAN</t>
  </si>
  <si>
    <t>ABSCHLUSSRECHNUNG</t>
  </si>
  <si>
    <t>GENEHMIGUNG DER BILANZ DURCH DAS RECHNUNGSPRÜFERKOLLEGIUM</t>
  </si>
  <si>
    <t>NEIN</t>
  </si>
  <si>
    <t>KODEX</t>
  </si>
  <si>
    <t>BETRAG</t>
  </si>
  <si>
    <t>A)  Produktionswert</t>
  </si>
  <si>
    <t>A.1)  Beiträge für laufende Ausgaben</t>
  </si>
  <si>
    <t>A.1.B) Beiträge für laufende Beiträge (außerhalb Fonds)</t>
  </si>
  <si>
    <t>A.1.B.1.4) Beiträge von Region oder Aut. Prov. (außerhalb Fonds) - Sonstiges</t>
  </si>
  <si>
    <t>A.1.B.2)  Beiträge von offentlichen Sanitätsbetrieben der Region oder Aut. Prov. (außerhalb Fonds)</t>
  </si>
  <si>
    <t>A.1.B.2.2) Beiträge von öffentlichen Sanitätsbetrieben der Region oder Aut. Prov. (außerhalb Fonds) Sonstiges</t>
  </si>
  <si>
    <t xml:space="preserve">A.1.B.3) Beiträge von anderen öffentlichen Subjekten (außerhalb Fonds) </t>
  </si>
  <si>
    <t>A.1.C.1) Beiträge vom Gesundheitsministerium für laufende Forschung</t>
  </si>
  <si>
    <t>A.1.C.2) Beiträge vom Gesundheitsministerium für zielgerichtete Forschung</t>
  </si>
  <si>
    <t>A.1.C.3) Beiträge von der Region und anderen öffentlichen Subjekten für Forschung</t>
  </si>
  <si>
    <t>A.1.C.4) Beiträge von Privaten für Forschung</t>
  </si>
  <si>
    <t>A.1.D) Beiträge für laufende Ausgaben von Privaten</t>
  </si>
  <si>
    <t>A.2)  Berichtigung der Beiträge für laufende Ausgaben für Zuweisung an Investitionen</t>
  </si>
  <si>
    <t>A.3.C)  Verwendung Rückstellungen für nicht verwendete Anteile von Beiträgen der Vorjahre für Forschungstätigkeit</t>
  </si>
  <si>
    <t>A.4.A.1.1) Krankenhausaufenthaltsbezogene Leistungen</t>
  </si>
  <si>
    <t>A.4.A.1.2) Leistungen für ambulante fachärztliche Betreuung</t>
  </si>
  <si>
    <t>A.4.A.3.1) Krankenhausaufenthaltsbezogene Leistungen</t>
  </si>
  <si>
    <t>A.5.A) Rückerstattungen von Versicherungen</t>
  </si>
  <si>
    <t>A.5.D) Kostenbeiträge, Rückerstattungen und Rückerlangungen von anderen öffentlichen Subjekten</t>
  </si>
  <si>
    <t>A.5.D.3)  Sonstige Kostenbeiträge, Rückerstattungen und Rückerlangungen von anderen öffentlichen Subjekten</t>
  </si>
  <si>
    <t>A.5.E) Kostenbeiträge, Rückerstattungen und Rückerlangungen von Privaten</t>
  </si>
  <si>
    <t>A.5.E.1.1) Pay-back bei Überschreitung der Ausgabenhöchstgrenze für die pharmazeutische Betreuung auf dem Territorium</t>
  </si>
  <si>
    <t>A.5.E.1.2) Pay-back bei Überschreitung der Ausgabenhöchstgrenze für die pharmazeutische Betreuung im Krankenhaus</t>
  </si>
  <si>
    <t>A.5.E.1.3) Weiteres Pay-back</t>
  </si>
  <si>
    <t xml:space="preserve">A.7)  Dem Geschäftsjahr zugeschriebener Anteil der Investitionsbeiträge </t>
  </si>
  <si>
    <t>A.7.A) Dem Geschäftsjahr zugeschriebener Anteil der Finanzierungen für Investitionen vom Staat</t>
  </si>
  <si>
    <t>A.7.B)  Dem Geschäftsjahr zugeschriebener Anteil der Finanzierungen für Investitionen von Region</t>
  </si>
  <si>
    <t>A.7.C)  Dem Geschäftsjahr zugeschriebener Anteil der Finanzierungen für Güter erstmaliger Ausstattung</t>
  </si>
  <si>
    <t>A.7.D) Dem Geschäftsjahr zugeschriebener Anteil der für Investitionen bestimmte laufenden Beiträge des regionalen GF</t>
  </si>
  <si>
    <t>A.7.E) Dem Geschäftsjahr zugeschriebener Anteil sonstiger für Investitionen bestimmte laufende Beiträge</t>
  </si>
  <si>
    <t>A.7.F) Dem Geschäftsjahr zugeschriebener Anteil anderer Posten des Nettovermögens</t>
  </si>
  <si>
    <t>A.8)  Zuwachs des Anlagevermögens infolge interner Arbeiten</t>
  </si>
  <si>
    <t>A.9) Sonstige Erlöse und Erträge</t>
  </si>
  <si>
    <t>A.9.B) Aktivmieten und andere Erträge aus Immobilientätigkeit</t>
  </si>
  <si>
    <t>A.9.C) Sonstige verschiedene Erträge</t>
  </si>
  <si>
    <t>Insgesamt Produktionswert (A)</t>
  </si>
  <si>
    <t>B)  Aufwendungen für die Produktion</t>
  </si>
  <si>
    <t>B.1) Ankauf von Gütern</t>
  </si>
  <si>
    <t>B.1.A.1) Pharmazeutische Produkte und Blutprodukte</t>
  </si>
  <si>
    <t>B.1.A.1.1) Arzneimittel mit AIC, mit Ausnahme von Impfstoffen und Blutprodukten aus regionaler Herstellung</t>
  </si>
  <si>
    <t>B.1.A.1.2) Arzneimittel ohne AIC</t>
  </si>
  <si>
    <t>B.1.A.1.3) Blutprodukte aus regionaler Herstellung</t>
  </si>
  <si>
    <t>B.1.A.2) Blut und Blutbestandteile</t>
  </si>
  <si>
    <t>B.1.A.2.1) von Öffentlichen (Öffentliche Sanitätsbetriebe der Region) – Regionale Mobilität</t>
  </si>
  <si>
    <t>B.1.A.2.2) von Öffentlichen (Öffentliche Sanitätsbetriebe außerhalb der Region) – Überregionale Mobilität</t>
  </si>
  <si>
    <t>B.1.A.2.3) von anderen Subjekten</t>
  </si>
  <si>
    <t>B.1.A.3) Medizinprodukte</t>
  </si>
  <si>
    <t>B.1.A.3.1) Medizinprodukte</t>
  </si>
  <si>
    <t>B.1.A.3.2) Aktive implantierbare medizinische Geräte</t>
  </si>
  <si>
    <t>B.1.A.3.3) In-vitro-Diagnostika (IVD)</t>
  </si>
  <si>
    <t>B.1.A.4) Diätprodukte</t>
  </si>
  <si>
    <t>B.1.A.5) Materialien für die Prophylaxe (Impfungen)</t>
  </si>
  <si>
    <t>B.1.A.6) Chemische Produkte</t>
  </si>
  <si>
    <t>B.1.B.1) Lebensmittel</t>
  </si>
  <si>
    <t>B.1.B.2) Kleidung, Reinigungs- und Haushaltsmaterial</t>
  </si>
  <si>
    <t>B.1.B.3) Brenn-, Treib- und Schmierstoffe</t>
  </si>
  <si>
    <t>B.1.B.5) Material für die Instandhaltung</t>
  </si>
  <si>
    <t>B.2)  Ankauf von Dienstleistungen</t>
  </si>
  <si>
    <t>B.2.A.1.1) - laut Vertrag</t>
  </si>
  <si>
    <t>B.2.A.1.1.A) Aufwendungen für Betreuung durch Ärzte für Allgemeinmedizin</t>
  </si>
  <si>
    <t>B.2.A.1.1.B) Aufwendungen für Betreuung durch Kinderärzte freier Wahl</t>
  </si>
  <si>
    <t>B.2.A.1.1.C) Aufwendungen für Betreuungskontinuität</t>
  </si>
  <si>
    <t>B.2.A.1.1.D) Sonstiges (Medizin der Dienste, Psychologen, Notärzte usw.)</t>
  </si>
  <si>
    <t>B.2.A.1.2) - bei öffentlichen Subjekten (öffentliche Sanitätsbetriebe der Region) - Mobilität innerhalb der Region</t>
  </si>
  <si>
    <t>B.2.A.1.3) - bei öffentlichen Subjekten (öffentliche Sanitätsbetriebe der Region) - Mobilität außerhalb der Region</t>
  </si>
  <si>
    <t>B.2.A.2.1)  - laut Vertrag</t>
  </si>
  <si>
    <t>B.2.A.2.2) - bei öffentlichen Subjekten (öffentliche Sanitätsbetriebe der Region) - Mobilität innerhalb der Region</t>
  </si>
  <si>
    <t>B.2.A.2.3) - bei öffentlichen Subjekten (außerhalb der Region)</t>
  </si>
  <si>
    <t>B.2.A.3.1) - bei öffentlichen Subjekten (öffentliche Sanitätsbetriebe der Region)</t>
  </si>
  <si>
    <t>B.2.A.4.1) - bei öffentlichen Subjekten (öffentliche Sanitätsbetriebe der Region)</t>
  </si>
  <si>
    <t>B.2.A.4.2) - bei öffentlichen Subjekten (sonstige öffentliche Subjekte der Region)</t>
  </si>
  <si>
    <t>B.2.A.4.3) - bei öffentlichen Subjekten (außerhalb der Region) ohne Verrechnung</t>
  </si>
  <si>
    <t>B.2.A.4.4) - bei privaten Subjekten (innerhalb der Region)</t>
  </si>
  <si>
    <t>B.2.A.4.5) - bei privaten Subjekten (außerhalb der Region)</t>
  </si>
  <si>
    <t>B.2.A.5.1) - bei öffentlichen Subjekten (öffentliche Sanitätsbetriebe der Region)</t>
  </si>
  <si>
    <t>B.2.A.5.2) - bei öffentlichen Subjekten (sonstige öffentliche Subjekte der Region)</t>
  </si>
  <si>
    <t>B.2.A.5.3) - bei öffentlichen Subjekten (außerhalb der Region)</t>
  </si>
  <si>
    <t>B.2.A.5.4) - bei privaten Subjekten</t>
  </si>
  <si>
    <t>B.2.A.6.1) - bei öffentlichen Subjekten (öffentliche Sanitätsbetriebe der Region)</t>
  </si>
  <si>
    <t>B.2.A.6.2) - bei öffentlichen Subjekten (sonstige öffentliche Subjekte der Region)</t>
  </si>
  <si>
    <t>B.2.A.6.3) - bei öffentlichen Subjekten (außerhalb der Region)</t>
  </si>
  <si>
    <t>B.2.A.6.4) - bei privaten Subjekten</t>
  </si>
  <si>
    <t>B.2.A.7.1) - bei öffentlichen Subjekten (öffentliche Sanitätsbetriebe der Region)</t>
  </si>
  <si>
    <t>B.2.A.7.2) - bei öffentlichen Subjekten (sonstige öffentliche Subjekte der Region)</t>
  </si>
  <si>
    <t>B.2.A.7.3) - bei öffentlichen Subjekten (außerhalb der Region)</t>
  </si>
  <si>
    <t>B.2.A.7.4) - bei privaten Subjekten</t>
  </si>
  <si>
    <t>B.2.A.7.5) - bei privaten Subjekten für nicht ansässige Bürger - außerhalb der Region (aktive Mobilität mit Verrechnung)</t>
  </si>
  <si>
    <t>B.2.A.8.1) - bei öffentlichen Subjekten (öffentliche Sanitätsbetriebe der Region)</t>
  </si>
  <si>
    <t>B.2.A.8.2) - bei öffentlichen Subjekten (sonstige öffentliche Subjekte der Region)</t>
  </si>
  <si>
    <t>B.2.A.8.4) - bei privaten Subjekten (innerhalb der Region)</t>
  </si>
  <si>
    <t>B.2.A.9.1) - bei öffentlichen Subjekten (öffentliche Sanitätsbetriebe der Region) - Mobilität innerhalb der Region</t>
  </si>
  <si>
    <t>B.2.A.9.2) - bei öffentlichen Subjekten (sonstige öffentliche Subjekte der Region)</t>
  </si>
  <si>
    <t>B.2.A.9.3) - bei öffentlichen Subjekten (außerhalb der Region)</t>
  </si>
  <si>
    <t>B.2.A.9.4) - bei privaten Subjekten (innerhalb der Region)</t>
  </si>
  <si>
    <t>B.2.A.9.5) - bei privaten Subjekten (außerhalb der Region)</t>
  </si>
  <si>
    <t>B.2.A.10.1) - bei öffentlichen Subjekten (öffentliche Sanitätsbetriebe der Region) - Mobilität innerhalb der Region</t>
  </si>
  <si>
    <t>B.2.A.10.2) - bei öffentlichen Subjekten (sonstige öffentliche Subjekte der Region)</t>
  </si>
  <si>
    <t>B.2.A.10.3) - bei öffentlichen Subjekten (außerhalb der Region)</t>
  </si>
  <si>
    <t>B.2.A.10.4) - bei privaten Subjekten</t>
  </si>
  <si>
    <t>B.2.A.10.5) - bei privaten Subjekten für nicht ansässige Bürger - außerhalb der Region (aktive Mobilität mit Verrechnung)</t>
  </si>
  <si>
    <t>B.2.A.11.4) - bei privaten Subjekten</t>
  </si>
  <si>
    <t>B.2.A.12.1) - bei öffentlichen Subjekten (öffentliche Sanitätsbetriebe der Region) - Mobilität innerhalb der Region</t>
  </si>
  <si>
    <t>B.2.A.12.2) - bei öffentlichen Subjekten (sonstige öffentliche Subjekte der Region)</t>
  </si>
  <si>
    <t>B.2.A.13.2)  Beteiligungen an das Personal für freiberufliche Leistungen Intramoenia - Facharztbereich</t>
  </si>
  <si>
    <t>B.2.A.13.3)  Beteiligungen an das Personal für freiberufliche Leistungen Intramoenia - Bereich öffentliches Gesundheitswesen</t>
  </si>
  <si>
    <t>B.2.A.13.4) Beteiligungen an das Personal für freiberufliche Leistungen Intramoenia - Beratungen (Ex-Art. 55 Abs. 1 Buchst. c), d) und gemäß Ex-Art. 57-58)</t>
  </si>
  <si>
    <t>B.2.A.13.5)   Beteiligungen an das Personal für freiberufliche Leistungen Intramoenia - Beratungen (Ex-Art. 55 Abs. 1 Buchst. c), d) und gemäß Ex-Art. 57-58) (Öffentliche Sanitätsbetriebe der Region)</t>
  </si>
  <si>
    <t>B.2.A.13.6)  Beteiligungen an das Personal für freiberufliche Leistungen - Sonstiges</t>
  </si>
  <si>
    <t>B.2.A.13.7)  Beteiligungen an das Personal für freiberufliche Leistungen Intramoenia - Sonstiges (Öffentliche Sanitätsbetriebe der Region)</t>
  </si>
  <si>
    <t>B.2.A.14.2)  Rückerstattungen für Behandlungen im Ausland</t>
  </si>
  <si>
    <t>B.2.A.14.3)  Beiträge an beteiligte Unternehmen und/oder abhängige Körperschaften der Region</t>
  </si>
  <si>
    <t>B.2.A.14.4) Beitrag Gesetz 210/92</t>
  </si>
  <si>
    <t>B.2.A.14.5) Sonstige Rückerstattungen, Zuweisungen und Beiträge</t>
  </si>
  <si>
    <t>B.2.A.14.6)  Rückerstattungen, Zuweisungen und Beiträge an öffentliche Sanitätsbetriebe der Region</t>
  </si>
  <si>
    <t>B.2.B.1.1)   Wäscherei</t>
  </si>
  <si>
    <t>B.2.B.1.2)   Reinigung</t>
  </si>
  <si>
    <t>B.2.B.1.4)  Heizung</t>
  </si>
  <si>
    <t>B.2.B.1.5)   IT-Supportleistungen</t>
  </si>
  <si>
    <t>B.2.B.1.7)  Abfallentsorgung</t>
  </si>
  <si>
    <t>B.2.B.1.8)  Telefonanschlüsse</t>
  </si>
  <si>
    <t>B.2.B.1.9)  Stromanschlüsse</t>
  </si>
  <si>
    <t>B.2.B.1.10)  Sonstige Anschlüsse</t>
  </si>
  <si>
    <t>B.2.B.1.11) Versicherungsprämien</t>
  </si>
  <si>
    <t>B.2.B.1.11.A)  Versicherungsprämien - Berufshaftpflicht</t>
  </si>
  <si>
    <t>B.2.B.1.11.B)  Versicherungsprämien - andere Versicherungsprämien</t>
  </si>
  <si>
    <t>B.2.B.3.1) (externe und interne) Ausbildung bei öffentlichen Subjekten</t>
  </si>
  <si>
    <t>B.2.B.3.2) (externe und interne) Ausbildung von privaten Subjekten</t>
  </si>
  <si>
    <t>B.3.A) Instandhaltung und Reparaturen von Gebäuden und ihrem Zubehör</t>
  </si>
  <si>
    <t>B.3.B)  Instandhaltung und Reparaturen von Anlagen und Maschinen</t>
  </si>
  <si>
    <t>B.3.D) Instandhaltung und Reparaturen von Einrichtungen und Ausstattungen</t>
  </si>
  <si>
    <t>B.3.E) Instandhaltung und Reparaturen von Fahrzeugen</t>
  </si>
  <si>
    <t>B.3.F)  Sonstige Instandhaltungsarbeiten und Reparaturen</t>
  </si>
  <si>
    <t>B.3.G)  Instandhaltung und Reparaturen durch öffentliche Sanitätsbetriebe der Region</t>
  </si>
  <si>
    <t>B.4.B)  Gebühren für Miete</t>
  </si>
  <si>
    <t>B.4.C) Raten für Leasing</t>
  </si>
  <si>
    <t>B.4.D)  Mieten und Gebühren für Miete von öffentlichen Sanitätsbetrieben der Region</t>
  </si>
  <si>
    <t>B.5.A) Kosten für leitendes Personal des Sanitätsstellenplans</t>
  </si>
  <si>
    <t>B.5.A.1) Kosten für leitendes ärztliches Personal</t>
  </si>
  <si>
    <t>B.5.A.1.1) Kosten für leitendes ärztliches Personal - unbefristete Beschäftigung</t>
  </si>
  <si>
    <t>B.5.A.1.2) Kosten für leitendes ärztliches Personal - befristete Beschäftigung</t>
  </si>
  <si>
    <t>B.5.A.1.3) Kosten für leitendes ärztliches Personal - sonstige Beschäftigung</t>
  </si>
  <si>
    <t>B.5.A.2) Kosten für leitendes nicht ärztliches Personal</t>
  </si>
  <si>
    <t>B.5.A.2.1) Kosten für leitendes nicht ärztliches Personal - unbefristete Beschäftigung</t>
  </si>
  <si>
    <t>B.5.A.2.2) Kosten für leitendes nicht ärztliches Personal - befristete Beschäftigung</t>
  </si>
  <si>
    <t>B.5.A.2.3) Kosten für leitendes nicht ärztliches Personal - sonstige Beschäftigung</t>
  </si>
  <si>
    <t>B.5.B) Kosten für nicht leitendes Personal des Sanitätsstellenplans</t>
  </si>
  <si>
    <t>B.5.B.1) Kosten für nicht leitendes Personal des Sanitätsstellenplans - unbefristete Beschäftigung</t>
  </si>
  <si>
    <t>B.5.B.3) Kosten für nicht leitendes Personal des Sanitätsstellenplans - sonstige Beschäftigung</t>
  </si>
  <si>
    <t>B.6.A) Kosten für leitendes Personal des Fachstellenplans</t>
  </si>
  <si>
    <t>B.6.A.1) Kosten für leitendes Personal des Fachstellenplans - unbefristete Beschäftigung</t>
  </si>
  <si>
    <t>B.6.A.2) Kosten für leitendes Personal des Fachstellenplans - befristete Beschäftigung</t>
  </si>
  <si>
    <t>B.6.A.3) Kosten für leitendes Personal des Fachstellenplans - sonstige Beschäftigung</t>
  </si>
  <si>
    <t>B.6.B) Nicht leitendes Fachpersonal des Fachstellenplans</t>
  </si>
  <si>
    <t>B.6.B.1) Kosten für nicht leitendes Personal des Fachstellenplans - unbefristete Beschäftigung</t>
  </si>
  <si>
    <t>B.6.B.2) Kosten für nicht leitendes Personal des Fachstellenplans - befristete Beschäftigung</t>
  </si>
  <si>
    <t>B.6.B.3) Kosten für nicht leitendes Personal des Fachstellenplans - sonstige Beschäftigung</t>
  </si>
  <si>
    <t>B.7.A.1) Kosten für leitendes Personal des technischen Stellenplans - unbefristete Beschäftigung</t>
  </si>
  <si>
    <t>B.7.A.2) Kosten für leitendes Personal des technischen Stellenplans - befristete Beschäftigung</t>
  </si>
  <si>
    <t>B.7.A.3) Kosten für leitendes Personal des technischen Stellenplans - sonstige Beschäftigung</t>
  </si>
  <si>
    <t>B.7.B) Kosten für nicht leitendes Personal des technischen Stellenplans</t>
  </si>
  <si>
    <t>B.7.B.1) Kosten für nicht leitendes Personal des technischen Stellenplans - unbefristete Beschäftigung</t>
  </si>
  <si>
    <t>B.7.B.2) Kosten für nicht leitendes Personal des technischen Stellenplans - befristete Beschäftigung</t>
  </si>
  <si>
    <t>B.7.B.3) Kosten für nicht leitendes Personal des technischen Stellenplans - sonstige Beschäftigung</t>
  </si>
  <si>
    <t>B.8.A.1) Kosten für leitendes Personal des Verwaltungsstellenplans - unbefristete Beschäftigung</t>
  </si>
  <si>
    <t>B.8.A.2) Kosten für leitendes Personal des Verwaltungsstellenplans - befristete Beschäftigung</t>
  </si>
  <si>
    <t>B.8.A.3) Kosten für leitendes Personal des Verwaltungsstellenplans - sonstige Beschäftigung</t>
  </si>
  <si>
    <t>B.8.B) Kosten für nicht leitendes Personal des Verwaltungsstellenplans</t>
  </si>
  <si>
    <t>B.8.B.1) Kosten für nicht leitendes Personal des Verwaltungsstellenplans - unbefristete Beschäftigung</t>
  </si>
  <si>
    <t>B.8.B.2) Kosten für nicht leitendes Personal des Verwaltungsstellenplans - befristete Beschäftigung</t>
  </si>
  <si>
    <t>B.8.B.3) Kosten für nicht leitendes Personal des Verwaltungsstellenplans - sonstige Beschäftigung</t>
  </si>
  <si>
    <t>B.9.A) Steuern und Gebühren (ausschließlich Wertschöpfungssteuer IRAP und IRES)</t>
  </si>
  <si>
    <t>B.9.B)  Forderungsverluste</t>
  </si>
  <si>
    <t>B.9.C.1)  Entschädigungen, Rückerstattungen von Ausgaben und Sozialabgaben für Leitungsorgane und Aufsichtsrat</t>
  </si>
  <si>
    <t>B.9.C.2) Verschiedene Aufwendungen der Gebarung</t>
  </si>
  <si>
    <t>B.10) Abschreibungen des immateriellen Anlagevermögens</t>
  </si>
  <si>
    <t>B.11) Abschreibungen des materiellen Anlagevermögens</t>
  </si>
  <si>
    <t>B.16.D) Sonstige Rückstellungen</t>
  </si>
  <si>
    <t>Insgesamt Aufwendungen für die Produktion (B)</t>
  </si>
  <si>
    <t>C)  Finanzielle Aufwendungen und Erträge</t>
  </si>
  <si>
    <t>C.1) Aktivzinsen</t>
  </si>
  <si>
    <t>C.1.A) Aktivzinsen auf einheitliches Schatzamtskonto</t>
  </si>
  <si>
    <t>C.1.B) Aktivzinsen auf Post- und Bank K/K</t>
  </si>
  <si>
    <t>C.1.C)  Sonstige Aktivzinsen</t>
  </si>
  <si>
    <t>C.2) Sonstige Erträge</t>
  </si>
  <si>
    <t>C.2.A) Erträge aus Beteiligungen</t>
  </si>
  <si>
    <t>C.2.B) Finanzerträge aus Finanzanlagevermögen</t>
  </si>
  <si>
    <t>C.2.C) Finanzerträge aus Wertpapieren aus dem Anlagevermögen</t>
  </si>
  <si>
    <t>C.3)  Passivzinsen</t>
  </si>
  <si>
    <t>C.3.B) Passivzinsen für Darlehen</t>
  </si>
  <si>
    <t>C.3.C) Sonstige Passivzinsen</t>
  </si>
  <si>
    <t>C.4) Sonstige Aufwendungen</t>
  </si>
  <si>
    <t>C.4.A) Sonstige Finanzaufwendungen</t>
  </si>
  <si>
    <t>Insgesamt Finanzerträge und -Aufwendungen (C)</t>
  </si>
  <si>
    <t>D)  Wertberichtigungen von Finanztätigkeiten</t>
  </si>
  <si>
    <t>D.1)  Aufwertungen</t>
  </si>
  <si>
    <t>D.2)  Abwertungen</t>
  </si>
  <si>
    <t>Insgesamt Wertberichtigungen von Finanztätigkeiten (D)</t>
  </si>
  <si>
    <t>E.1) Außerordentliche Erträge</t>
  </si>
  <si>
    <t>E.1.A) Veräußerungsgewinne</t>
  </si>
  <si>
    <t>E.1.B) Sonstige außerordentliche Erträge</t>
  </si>
  <si>
    <t>E.1.B.1) Erträge aus Schenkungen und verschiedenen unentgeltlichen Zuwendungen</t>
  </si>
  <si>
    <t>E.1.B.2) Außerordentliche Erträge</t>
  </si>
  <si>
    <t>E.1.B.4) Sonstige außerordentliche Erträge</t>
  </si>
  <si>
    <t>E.2) Außerordentliche Aufwendungen</t>
  </si>
  <si>
    <t>E.2.A) Veräußerungsverluste</t>
  </si>
  <si>
    <t>E.2.B) Sonstige außerordentliche Aufwendungen</t>
  </si>
  <si>
    <t>E.2.B.1) Steuerliche Aufwendungen aus Vorjahren</t>
  </si>
  <si>
    <t>E.2.B.2) Aufwendungen aus Zivilverfahren und Prozesse</t>
  </si>
  <si>
    <t>E.2.B.3) Außerordentliche Aufwendungen</t>
  </si>
  <si>
    <t>E.2.B.3.1) Außerordentliche Aufwendungen gegenüber öffentlichen Sanitätsbetrieben der Region</t>
  </si>
  <si>
    <t>E.2.B.3.1.A) Außerordentliche Aufwendungen gegenüber öffentlichen Sanitätsbetrieben betreffend die regionale Mobilität</t>
  </si>
  <si>
    <t>E.2.B.3.1.B) Sonstige außerordentliche Aufwendungen gegenüber öffentlichen Sanitätsbetrieben der Region</t>
  </si>
  <si>
    <t>E.2.B.3.2) Außerordentliche Aufwendungen gegenüber Dritten</t>
  </si>
  <si>
    <t>E.2.B.3.2.A) Außerordentliche Aufwendungen gegenüber Dritten betreffend die überregionale Mobilität</t>
  </si>
  <si>
    <t>E.2.B.3.2.B) Außerordentliche Aufwendungen gegenüber Dritten betreffend das Personal</t>
  </si>
  <si>
    <t>E.2.B.3.2.B.1) Außerordentliche Aufwendungen gegenüber Dritten betreffend das Personal - Ärztliche Leiter</t>
  </si>
  <si>
    <t>E.2.B.3.2.B.3) Außerordentliche Aufwendungen gegenüber Dritten betreffend das Personal - nicht-leitendes Personal</t>
  </si>
  <si>
    <t>E.2.B.3.2.C) Außerordentliche Aufwendungen gegenüber Dritten betreffend die Konventionen für die gesundheitliche Grundversorgung</t>
  </si>
  <si>
    <t>E.2.B.3.2.D) Außerordentliche Aufwendungen gegenüber Dritten betreffend die Konventionen für fachärztliche Betreuung</t>
  </si>
  <si>
    <t>E.2.B.3.2.F) Außerordentliche Aufwendungen gegenüber Dritten betreffend den Ankauf von Gütern und Dienstleistungen</t>
  </si>
  <si>
    <t>E.2.B.3.2.G) Sonstige außerordentliche Aufwendungen gegenüber Dritten</t>
  </si>
  <si>
    <t>Insgesamt außerordentliche Aufwendungen und Erträge (E)</t>
  </si>
  <si>
    <t>Ergebnis vor Steuern (A - B +/- C +/- D +/- E)</t>
  </si>
  <si>
    <t>Y.1.A) IRAP betreffend bedienstetes Personal</t>
  </si>
  <si>
    <t>Y.1.D) IRAP betreffend wirtschaftliche Tätigkeit</t>
  </si>
  <si>
    <t>Y.2.A) IRES auf institutionelle Tätigkeit</t>
  </si>
  <si>
    <t>Y.2.B) IRES auf wirtschaftliche Tätigkeit</t>
  </si>
  <si>
    <t>Y.3) Rückstellung für Steuern (Feststellung, Erlass, usw.)</t>
  </si>
  <si>
    <t>GESCHÄFTSERGEBNIS</t>
  </si>
  <si>
    <t>Der verantwortliche Funktionär für den Bereich Wirtschaft und Finanzen</t>
  </si>
  <si>
    <t>Der Generaldirektor</t>
  </si>
  <si>
    <t>Vorabschluss</t>
  </si>
  <si>
    <t>590.200.12</t>
  </si>
  <si>
    <t>WERTSCHÖPFUNGSSTEUER AUF ANGEREIFTEN NICHT GENOSSENEN URLAUB</t>
  </si>
  <si>
    <t>Manutenzione e riparazione mobili e arredi</t>
  </si>
  <si>
    <t>COMPETENZE FISSE - PERSONALE DIRIGENTE MEDICO RUOLO SANITARIO - TEMPO INDETERMINATO</t>
  </si>
  <si>
    <t>FESTE BEZÜGE LEITENDES ÄRZTLICHES PERSONAL DES SANITÄTSSTELLENPLANS - UNBEFRISTET</t>
  </si>
  <si>
    <t>Costo del personale dirigente medico  - TEMPO indeterminato</t>
  </si>
  <si>
    <t>COMPETENZE FISSE - PERSONALE DIRIGENTE MEDICO RUOLO SANITARIO - TEMPO DETERMINATO</t>
  </si>
  <si>
    <t>FESTE BEZÜGE LEITENDES ÄRZTLICHES PERSONAL DES SANITÄTSSTELLENPLANS - BEFRISTET</t>
  </si>
  <si>
    <t>Costo del personale dirigente medico  - TEMPO determinato</t>
  </si>
  <si>
    <t>FERIE MATURATE NON GODUTE - PERSONALE DIRIGENTE MEDICO RUOLO SANITARIO - TEMPO INDETERMINATO</t>
  </si>
  <si>
    <t>ANGEREIFTER UND NICHT GENOSSENER URLAUB - LEITENDES ÄRZTLICHES PERSONAL DES SANITÄTSSTELLENPLANS - UNBEFRISTET</t>
  </si>
  <si>
    <t>FERIE MATURATE NON GODUTE - PERSONALE DIRIGENTE MEDICO RUOLO SANITARIO - TEMPO DETERMINATO</t>
  </si>
  <si>
    <t>ANGEREIFTER UND NICHT GENOSSENER URLAUB - LEITENDES ÄRZTLICHES PERSONAL DES SANITÄTSSTELLENPLANS - BEFRISTET</t>
  </si>
  <si>
    <t>COMPETENZE FISSE - PERSONALE DIRIGENTE NON MEDICO RUOLO SANITARIO - TEMPO INDETERMINATO</t>
  </si>
  <si>
    <t>FESTE BEZÜGE - LEITENDES NICHT ÄRZTLICHES PERSONAL DES SANITÄTSSTELLENPLANS - UNBEFRISTET</t>
  </si>
  <si>
    <t>Costo del personale dirigente non medico  - TEMPO indeterminato</t>
  </si>
  <si>
    <t>COMPETENZE FISSE - PERSONALE DIRIGENTE NON MEDICO RUOLO SANITARIO - TEMPO DETERMINATO</t>
  </si>
  <si>
    <t>FESTE BEZÜGE - LEITENDES NICHT ÄRZTLICHES PERSONAL DES SANITÄTSSTELLENPLANS - BEFRISTET</t>
  </si>
  <si>
    <t>Costo del personale dirigente non medico  - TEMPO determinato</t>
  </si>
  <si>
    <t>FERIE MATURATE NON GODUTE - PERSONALE DIRIGENTE NON MEDICO RUOLO SANITARIO - TEMPO INDETERMINATO</t>
  </si>
  <si>
    <t>ANGEREIFTER UND NICHT GENOSSENER URLAUB - LEITENDES NICHT ÄRZTLICHES PERSONAL DES SANITÄTSSTELLENPLANS - UNBEFRISTET</t>
  </si>
  <si>
    <t>FERIE MATURATE NON GODUTE - PERSONALE DIRIGENTE NON MEDICO RUOLO SANITARIO - TEMPO DETERMINATO</t>
  </si>
  <si>
    <t>ANGEREIFTER UND NICHT GENOSSENER URLAUB - LEITENDES NICHT ÄRZTLICHES PERSONAL DES SANITÄTSSTELLENPLANS - BEFRISTET</t>
  </si>
  <si>
    <t>COMPETENZE FISSE - PERSONALE COMPARTO RUOLO SANITARIO - TEMPO INDETERMINATO</t>
  </si>
  <si>
    <t>Costo del personale comparto ruolo sanitario  - TEMPO indeterminato</t>
  </si>
  <si>
    <t>COMPETENZE FISSE - PERSONALE COMPARTO RUOLO SANITARIO - TEMPO DETERMINATO</t>
  </si>
  <si>
    <t>Costo del personale comparto ruolo sanitario  - TEMPO determinato</t>
  </si>
  <si>
    <t>FERIE MATURATE NON GODUTE - PERSONALE COMPARTO RUOLO SANITARIO - TEMPO INDETERMINATO</t>
  </si>
  <si>
    <t>FERIE MATURATE NON GODUTE - PERSONALE COMPARTO RUOLO SANITARIO - TEMPO DETERMINATO</t>
  </si>
  <si>
    <t>COMPETENZE ACCESSORIE - PERSONALE DIRIGENTE MEDICO RUOLO SANITARIO - TEMPO INDETERMINATO</t>
  </si>
  <si>
    <t>ZUSÄTZLICHE BEZÜGE - LEITENDES ÄRZTLICHES PERSONAL DES SANITÄTSSTELLENPLANS - UNBEFRISTET</t>
  </si>
  <si>
    <t>COMPETENZE ACCESSORIE - PERSONALE DIRIGENTE MEDICO RUOLO SANITARIO - TEMPO DETERMINATO</t>
  </si>
  <si>
    <t>ZUSÄTZLICHE BEZÜGE - LEITENDES ÄRZTLICHES PERSONAL DES SANITÄTSSTELLENPLANS - BEFRISTET</t>
  </si>
  <si>
    <t>COMPETENZE ACCESSORIE - PERSONALE DIRIGENTE NON MEDICO RUOLO SANITARIO - TEMPO INDETERMINATO</t>
  </si>
  <si>
    <t>ZUSÄTZLICHE BEZÜGE - LEITENDES NICHT ÄRZTLICHES PERSONAL DES SANITÄTSSTELLENPLANS - UNBEFRISTET</t>
  </si>
  <si>
    <t>COMPETENZE ACCESSORIE - PERSONALE DIRIGENTE NON MEDICO RUOLO SANITARIO - TEMPO DETERMINATO</t>
  </si>
  <si>
    <t>ZUSÄTZLICHE BEZÜGE - LEITENDES NICHT ÄRZTLICHES PERSONAL DES SANITÄTSSTELLENPLANS - BEFRISTET</t>
  </si>
  <si>
    <t>COMPETENZE ACCESSORIE - PERSONALE COMPARTO RUOLO SANITARIO - TEMPO INDETERMINATO</t>
  </si>
  <si>
    <t>ZUSÄTZLICHE BEZÜGE - NICHT LEITENDES  PERSONAL DES SANITÄTSSTELLENPLANS - UNBEFRISTET</t>
  </si>
  <si>
    <t>INCENTIVI - PERSONALE DIRIGENTE MEDICO RUOLO SANITARIO - TEMPO INDETERMINATO</t>
  </si>
  <si>
    <t>INCENTIVI - PERSONALE DIRIGENTE MEDICO RUOLO SANITARIO - TEMPO DETERMINATO</t>
  </si>
  <si>
    <t>INCENTIVI - PERSONALE DIRIGENTE NON MEDICO RUOLO SANITARIO - TEMPO INDETERMINATO</t>
  </si>
  <si>
    <t>PRODUKTIVITÄTSSTEIGERUNGSPRÄMIEN - LEITENDES NICHT ÄRZTLICHES PERSONAL DES SANITÄTSSTELLENPLANS - UNBEFRISTET</t>
  </si>
  <si>
    <t>INCENTIVI - PERSONALE DIRIGENTE NON MEDICO RUOLO SANITARIO - TEMPO DETERMINATO</t>
  </si>
  <si>
    <t>PRODUKTIVITÄTSSTEIGERUNGSPRÄMIEN - LEITENDES NICHT ÄRZTLICHES PERSONAL DES SANITÄTSSTELLENPLANS - BEFRISTET</t>
  </si>
  <si>
    <t>INCENTIVI - PERSONALE COMPARTO RUOLO SANITARIO - TEMPO INDETERMINATO</t>
  </si>
  <si>
    <t>INCENTIVI - PERSONALE COMPARTO RUOLO SANITARIO - TEMPO DETERMINATO</t>
  </si>
  <si>
    <t>COMPARTECIPAZIONI PER DIFFERENZA DI CLASSE - PERSONALE DIRIGENTE MEDICO RUOLO SANITARIO - TEMPO INDETERMINATO</t>
  </si>
  <si>
    <t>COMPARTECIPAZIONI PER DIFFERENZA DI CLASSE - PERSONALE DIRIGENTE MEDICO RUOLO SANITARIO - TEMPO DETERMINATO</t>
  </si>
  <si>
    <t>COMPARTECIPAZIONI PER DIFFERENZA DI CLASSE - PERSONALE DIRIGENTE NON MEDICO RUOLO SANITARIO - TEMPO INDETERMINATO</t>
  </si>
  <si>
    <t>BETEILIGUNGEN AN DEN PFLEGESATZAUFSCHLÄGEN - LEITENDES NICHT ÄRZTLICHES PERSONAL DES SANITÄTSSTELLENPLANS - UNBEFRISTET</t>
  </si>
  <si>
    <t>COMPARTECIPAZIONI PER DIFFERENZA DI CLASSE - PERSONALE DIRIGENTE NON MEDICO RUOLO SANITARIO - TEMPO DETERMINATO</t>
  </si>
  <si>
    <t>BETEILIGUNGEN AN DEN PFLEGESATZAUFSCHLÄGEN - LEITENDES NICHT ÄRZTLICHES PERSONAL DES SANITÄTSSTELLENPLANS - BEFRISTET</t>
  </si>
  <si>
    <t>ONERI SOCIALI - PERSONALE DIRIGENTE MEDICO RUOLO SANITARIO - TEMPO INDETERMINATO</t>
  </si>
  <si>
    <t>SOZIALABGABEN - LEITENDES ÄRZTLICHES PERSONAL DES SANITÄTSSTELLENPLANS - UNBEFRISTET</t>
  </si>
  <si>
    <t>ONERI SOCIALI - PERSONALE DIRIGENTE MEDICO RUOLO SANITARIO - TEMPO DETERMINATO</t>
  </si>
  <si>
    <t>SOZIALABGABEN - LEITENDES ÄRZTLICHES PERSONAL DES SANITÄTSSTELLENPLANS - BEFRISTET</t>
  </si>
  <si>
    <t>ONERI SOCIALI - PERSONALE DIRIGENTE NON MEDICO RUOLO SANITARIO - TEMPO INDETERMINATO</t>
  </si>
  <si>
    <t>ONERI SOCIALI - PERSONALE DIRIGENTE NON MEDICO RUOLO SANITARIO - TEMPO DETERMINATO</t>
  </si>
  <si>
    <t>ONERI SOCIALI - PERSONALE COMPARTO RUOLO SANITARIO - TEMPO INDETERMINATO</t>
  </si>
  <si>
    <t>ONERI SOCIALI - PERSONALE COMPARTO RUOLO SANITARIO - TEMPO DETERMINATO</t>
  </si>
  <si>
    <t>ONERI SOCIALI FERIE MATURATE NON GODUTE - PERSONALE DIRIGENTE MEDICO RUOLO SANITARIO - TEMPO INDETERMINATO</t>
  </si>
  <si>
    <t>SOZIALABGABEN ANGEREIFTER UND NICHT GENOSSENER URLAUB - LEITENDES ÄRZTLICHES PERSONAL DES SANITÄTSSTELLENPLANS - UNBEFRISTET</t>
  </si>
  <si>
    <t>ONERI SOCIALI FERIE MATURATE NON GODUTE - PERSONALE DIRIGENTE MEDICO RUOLO SANITARIO - TEMPO DETERMINATO</t>
  </si>
  <si>
    <t>SOZIALABGABEN ANGEREIFTER UND NICHT GENOSSENER URLAUB - LEITENDES ÄRZTLICHES PERSONAL DES SANITÄTSSTELLENPLANS - BEFRISTET</t>
  </si>
  <si>
    <t>ONERI SOCIALI FERIE MATURATE NON GODUTE - PERSONALE DIRIGENTE NON MEDICO RUOLO SANITARIO - TEMPO INDETERMINATO</t>
  </si>
  <si>
    <t>SOZIALABGABEN ANGEREIFTER UND NICHT GENOSSENER URLAUB - LEITENDES NICHT ÄRZTLICHES PERSONAL DES SANITÄTSSTELLENPLANS - UNBEFRISTET</t>
  </si>
  <si>
    <t>ONERI SOCIALI FERIE MATURATE NON GODUTE - PERSONALE DIRIGENTE NON MEDICO RUOLO SANITARIO - TEMPO DETERMINATO</t>
  </si>
  <si>
    <t>SOZIALABGABEN ANGEREIFTER UND NICHT GENOSSENER URLAUB - LEITENDES NICHT ÄRZTLICHES PERSONAL DES SANITÄTSSTELLENPLANS - BEFRISTET</t>
  </si>
  <si>
    <t>ONERI SOCIALI FERIE MATURATE NON GODUTE - PERSONALE COMPARTO RUOLO SANITARIO - TEMPO INDETERMINATO</t>
  </si>
  <si>
    <t>ONERI SOCIALI FERIE MATURATE NON GODUTE - PERSONALE COMPARTO RUOLO SANITARIO - TEMPO DETERMINATO</t>
  </si>
  <si>
    <t>ACCANTONAMENTI E ONERI DIFFERITI - PERSONALE RUOLO SANITARIO</t>
  </si>
  <si>
    <t>RÜCKSTELLUNGEN UND AUFGESCHOBENE ZAHLUNGEN AN DAS PERSONAL DES SANITÄTSSTELLENPLANS</t>
  </si>
  <si>
    <t>COMPETENZE ACCESSORIE DA LIQUIDARE - PERSONALE DIRIGENTE MEDICO RUOLO SANITARIO - TEMPO INDETERMINATO</t>
  </si>
  <si>
    <t>COMPETENZE ACCESSORIE DA LIQUIDARE - PERSONALE DIRIGENTE NON MEDICO RUOLO SANITARIO - TEMPO INDETERMINATO</t>
  </si>
  <si>
    <t>COMPETENZE ACCESSORIE DA LIQUIDARE - PERSONALE DIRIGENTE NON MEDICO RUOLO SANITARIO - TEMPO DETERMINATO</t>
  </si>
  <si>
    <t>COMPETENZE ACCESSORIE DA LIQUIDARE - PERSONALE COMPARTO RUOLO SANITARIO - TEMPO DETERMINATO</t>
  </si>
  <si>
    <t>ONERI SOCIALI DA LIQUIDARE - PERSONALE DIRIGENTE MEDICO RUOLO SANITARIO - TEMPO INDETERMINATO</t>
  </si>
  <si>
    <t>ZU LIQUIDIERENDE SOZIALABGABEN - LEITENDES ÄRZTLICHES PERSONAL DES SANITÄTSSTELLENPLANS - UNBEFRISTET</t>
  </si>
  <si>
    <t>ONERI SOCIALI DA LIQUIDARE - PERSONALE DIRIGENTE MEDICO RUOLO SANITARIO - TEMPO DETERMINATO</t>
  </si>
  <si>
    <t>ZU LIQUIDIERENDE SOZIALABGABEN - LEITENDES ÄRZTLICHES PERSONAL DES SANITÄTSSTELLENPLANS - BEFRISTET</t>
  </si>
  <si>
    <t>ONERI SOCIALI DA LIQUIDARE - PERSONALE DIRIGENTE NON MEDICO RUOLO SANITARIO - TEMPO INDETERMINATO</t>
  </si>
  <si>
    <t>ZU LIQUIDIERENDE SOZIALABGABEN - LEITENDES NICHT ÄRZTLICHES PERSONAL DES SANITÄTSSTELLENPLANS - UNBEFRISTET</t>
  </si>
  <si>
    <t>ONERI SOCIALI DA LIQUIDARE - PERSONALE DIRIGENTE NON MEDICO RUOLO SANITARIO - TEMPO DETERMINATO</t>
  </si>
  <si>
    <t>ZU LIQUIDIERENDE SOZIALABGABEN - LEITENDES NICHT ÄRZTLICHES PERSONAL DES SANITÄTSSTELLENPLANS - BEFRISTET</t>
  </si>
  <si>
    <t>ONERI SOCIALI DA LIQUIDARE - PERSONALE COMPARTO RUOLO SANITARIO - TEMPO INDETERMINATO</t>
  </si>
  <si>
    <t>ONERI SOCIALI DA LIQUIDARE - PERSONALE COMPARTO RUOLO SANITARIO - TEMPO DETERMINATO</t>
  </si>
  <si>
    <t>ZU LIQUIDIERENDE SOZIALABGABEN - NICHT LEITENDES  PERSONAL DES SANITÄTSSTELLENPLANS - BEFRISTET</t>
  </si>
  <si>
    <t>ALTRI ONERI PER IL PERSONALE DA LIQUIDARE - PERSONALE DIRIGENTE MEDICO RUOLO SANITARIO - TEMPO INDETERMINATO</t>
  </si>
  <si>
    <t>ANDERE ZU LIQUIDIERENDE PERSONALAUSGABEN - LEITENDES ÄRZTLICHES PERSONAL DES SANITÄTSSTELLENPLANS - UNBEFRISTET</t>
  </si>
  <si>
    <t>ALTRI ONERI PER IL PERSONALE DA LIQUIDARE - PERSONALE DIRIGENTE MEDICO RUOLO SANITARIO - TEMPO DETERMINATO</t>
  </si>
  <si>
    <t>ANDERE ZU LIQUIDIERENDE PERSONALAUSGABEN - LEITENDES ÄRZTLICHES PERSONAL DES SANITÄTSSTELLENPLANS - BEFRISTET</t>
  </si>
  <si>
    <t>ALTRI ONERI PER IL PERSONALE DA LIQUIDARE - PERSONALE DIRIGENTE NON MEDICO RUOLO SANITARIO - TEMPO INDETERMINATO</t>
  </si>
  <si>
    <t>ALTRI ONERI PER IL PERSONALE DA LIQUIDARE - PERSONALE DIRIGENTE NON MEDICO RUOLO SANITARIO - TEMPO DETERMINATO</t>
  </si>
  <si>
    <t>ANDERE ZU LIQUIDIERENDE PERSONALAUSGABEN - LEITENDES NICHT ÄRZTLICHES PERSONAL DES SANITÄTSSTELLENPLANS - BEFRISTET</t>
  </si>
  <si>
    <t>ALTRI ONERI PER IL PERSONALE DA LIQUIDARE - PERSONALE COMPARTO RUOLO SANITARIO - TEMPO INDETERMINATO</t>
  </si>
  <si>
    <t>ANDERE ZU LIQUIDIERENDE PERSONALAUSGABEN - NICHT LEITENDES PERSONAL DES SANITÄTSSTELLENPLANS - UNBEFRISTET</t>
  </si>
  <si>
    <t>ALTRI ONERI PER IL PERSONALE DA LIQUIDARE - PERSONALE COMPARTO RUOLO SANITARIO - TEMPO DETERMINATO</t>
  </si>
  <si>
    <t>ANDERE ZU LIQUIDIERENDE PERSONALAUSGABEN - NICHT LEITENDES PERSONAL DES SANITÄTSSTELLENPLANS - BEFRISTET</t>
  </si>
  <si>
    <t>ACCANTONAMENTO AL FONDO TFR - PERSONALE DIRIGENTE MEDICO RUOLO SANITARIO - TEMPO INDETERMINATO</t>
  </si>
  <si>
    <t>ZUWEISUNG AN RÜCKSTELLUNGEN FÜR ABFERTIGUNG - LEITENDES ÄRZTLICHES PERSONAL DES SANITÄTSSTELLENPLANS - UNBEFRISTET</t>
  </si>
  <si>
    <t>ACCANTONAMENTO AL FONDO TFR - PERSONALE DIRIGENTE MEDICO RUOLO SANITARIO - TEMPO DETERMINATO</t>
  </si>
  <si>
    <t>ZUWEISUNG AN RÜCKSTELLUNGEN FÜR ABFERTIGUNG - LEITENDES ÄRZTLICHES PERSONAL DES SANITÄTSSTELLENPLANS - BEFRISTET</t>
  </si>
  <si>
    <t>ACCANTONAMENTO AL FONDO TFR - PERSONALE DIRIGENTE NON MEDICO RUOLO SANITARIO - TEMPO INDETERMINATO</t>
  </si>
  <si>
    <t>ZUWEISUNG AN RÜCKSTELLUNGEN FÜR ABFERTIGUNG - LEITENDES NICHT ÄRZTLICHES PERSONAL DES SANITÄTSSTELLENPLANS - UNBEFRISTET</t>
  </si>
  <si>
    <t>ACCANTONAMENTO AL FONDO TFR - PERSONALE DIRIGENTE NON MEDICO RUOLO SANITARIO - TEMPO DETERMINATO</t>
  </si>
  <si>
    <t>ZUWEISUNG AN RÜCKSTELLUNGEN FÜR ABFERTIGUNG - LEITENDES NICHT ÄRZTLICHES PERSONAL DES SANITÄTSSTELLENPLANS - BEFRISTET</t>
  </si>
  <si>
    <t>ACCANTONAMENTO AL FONDO TFR - PERSONALE COMPARTO RUOLO SANITARIO - TEMPO INDETERMINATO</t>
  </si>
  <si>
    <t>ACCANTONAMENTO AL FONDO TFR - PERSONALE COMPARTO RUOLO SANITARIO - TEMPO DETERMINATO</t>
  </si>
  <si>
    <t>COMPETENZE FISSE - PERSONALE DIRIGENTE RUOLO PROFESSIONALE - TEMPO INDETERMINATO</t>
  </si>
  <si>
    <t>FESTE BEZÜGE - LEITENDES PERSONAL DES FACHSTELLENPLANS - UNBEFRISTET</t>
  </si>
  <si>
    <t>Costo del personale dirigente ruolo professionale  - TEMPO indeterminato</t>
  </si>
  <si>
    <t>COMPETENZE FISSE - PERSONALE DIRIGENTE RUOLO PROFESSIONALE - TEMPO DETERMINATO</t>
  </si>
  <si>
    <t>FESTE BEZÜGE - LEITENDES PERSONAL DES FACHSTELLENPLANS - BEFRISTET</t>
  </si>
  <si>
    <t>Costo del personale dirigente ruolo professionale  - TEMPO determinato</t>
  </si>
  <si>
    <t xml:space="preserve">FERIE MATURATE NON GODUTE - PERSONALE DIRIGENTE RUOLO PROFESSIONALE - TEMPO INDETERMINATO </t>
  </si>
  <si>
    <t>ANGEREIFTER UND NICHT GENOSSENER URLAUB - LEITENDES PERSONAL DES FACHSTELLENPLANS - UNBEFRISTET</t>
  </si>
  <si>
    <t xml:space="preserve">FERIE MATURATE NON GODUTE - PERSONALE DIRIGENTE RUOLO PROFESSIONALE - TEMPO DETERMINATO </t>
  </si>
  <si>
    <t>ANGEREIFTER UND NICHT GENOSSENER URLAUB - LEITENDES PERSONAL DES FACHSTELLENPLANS - BEFRISTET</t>
  </si>
  <si>
    <t xml:space="preserve">COMPETENZE FISSE - PERSONALE COMPARTO RUOLO PROFESSIONALE - TEMPO INDETERMINATO </t>
  </si>
  <si>
    <t>FESTE BEZÜGE - NICHT LEITENDES  PERSONAL DES FACHSTELLENPLANS - UNBEFRISTET</t>
  </si>
  <si>
    <t>Costo del personale comparto ruolo professionale  - TEMPO indeterminato</t>
  </si>
  <si>
    <t xml:space="preserve">COMPETENZE FISSE - PERSONALE COMPARTO RUOLO PROFESSIONALE - TEMPO DETERMINATO </t>
  </si>
  <si>
    <t>Costo del personale comparto ruolo professionale  - TEMPO determinato</t>
  </si>
  <si>
    <t xml:space="preserve">FERIE MATURATE NON GODUTE - PERSONALE COMPARTO RUOLO PROFESSIONALE - TEMPO INDETERMINATO </t>
  </si>
  <si>
    <t>ANGEREIFTER UND NICHT GENOSSENER URLAUB - NICHT LEITENDES PERSONAL DES FACHSTELLENPLANS - UNBEFRISTET</t>
  </si>
  <si>
    <t xml:space="preserve">FERIE MATURATE NON GODUTE - PERSONALE COMPARTO RUOLO PROFESSIONALE - TEMPO DETERMINATO </t>
  </si>
  <si>
    <t>ANGEREIFTER UND NICHT GENOSSENER URLAUB - NICHT LEITENDES PERSONAL DES FACHSTELLENPLANS - BEFRISTET</t>
  </si>
  <si>
    <t xml:space="preserve">COMPETENZE ACCESSORIE - PERSONALE DIRIGENTE RUOLO PROFESSIONALE - TEMPO INDETERMINATO </t>
  </si>
  <si>
    <t>ZUSÄTZLICHE BEZÜGE - LEITENDES PERSONAL DES FACHSTELLENPLANS - UNBEFRISTET</t>
  </si>
  <si>
    <t xml:space="preserve">COMPETENZE ACCESSORIE - PERSONALE DIRIGENTE RUOLO PROFESSIONALE - TEMPO DETERMINATO </t>
  </si>
  <si>
    <t>ZUSÄTZLICHE BEZÜGE - LEITENDES PERSONAL DES FACHSTELLENPLANS - BEFRISTET</t>
  </si>
  <si>
    <t xml:space="preserve">COMPETENZE ACCESSORIE - PERSONALE COMPARTO RUOLO PROFESSIONALE - TEMPO INDETERMINATO </t>
  </si>
  <si>
    <t>ZUSÄTZLICHE BEZÜGE - NICHT LEITENDES PERSONAL DES FACHSTELLENPLANS - UNBEFRISTET</t>
  </si>
  <si>
    <t xml:space="preserve">COMPETENZE ACCESSORIE - PERSONALE COMPARTO RUOLO PROFESSIONALE - TEMPO DETERMINATO </t>
  </si>
  <si>
    <t>ZUSÄTZLICHE BEZÜGE - NICHT LEITENDES PERSONAL DES FACHSTELLENPLANS - BEFRISTET</t>
  </si>
  <si>
    <t xml:space="preserve">INCENTIVI  - PERSONALE DIRIGENTE RUOLO PROFESSIONALE - TEMPO INDETERMINATO </t>
  </si>
  <si>
    <t>PRODUKTIVITÄTSSTEIGERUNGSPRÄMIEN - LEITENDES PERSONAL DES FACHSTELLENPLANS - UNBEFRISTET</t>
  </si>
  <si>
    <t xml:space="preserve">INCENTIVI - PERSONALE DIRIGENTE RUOLO PROFESSIONALE - TEMPO DETERMINATO </t>
  </si>
  <si>
    <t>PRODUKTIVITÄTSSTEIGERUNGSPRÄMIEN - LEITENDES PERSONAL DES FACHSTELLENPLANS - BEFRISTET</t>
  </si>
  <si>
    <t xml:space="preserve">INCENTIVI - PERSONALE COMPARTO RUOLO PROFESSIONALE - TEMPO INDETERMINATO </t>
  </si>
  <si>
    <t xml:space="preserve">INCENTIVI - PERSONALE COMPARTO RUOLO PROFESSIONALE - TEMPO DETERMINATO </t>
  </si>
  <si>
    <t xml:space="preserve">ONERI SOCIALI - PERSONALE DIRIGENTE RUOLO PROFESSIONALE - TEMPO INDETERMINATO </t>
  </si>
  <si>
    <t>SOZIALABGABEN - LEITENDES PERSONAL DES FACHSTELLENPLANS - UNBEFRISTET</t>
  </si>
  <si>
    <t xml:space="preserve">ONERI SOCIALI - PERSONALE DIRIGENTE RUOLO PROFESSIONALE - TEMPO DETERMINATO </t>
  </si>
  <si>
    <t>SOZIALABGABEN - LEITENDES PERSONAL DES FACHSTELLENPLANS - BEFRISTET</t>
  </si>
  <si>
    <t xml:space="preserve">ONERI SOCIALI - PERSONALE COMPARTO RUOLO PROFESSIONALE - TEMPO INDETERMINATO </t>
  </si>
  <si>
    <t xml:space="preserve">ONERI SOCIALI - PERSONALE COMPARTO RUOLO PROFESSIONALE - TEMPO DETERMINATO </t>
  </si>
  <si>
    <t xml:space="preserve">ONERI SOCIALI FERIE MATURATE NON GODUTE - PERSONALE DIRIGENTE RUOLO PROFESSIONALE - TEMPO INDETERMINATO  </t>
  </si>
  <si>
    <t>SOZIALABGABEN ANGEREIFTER UND NICHT GENOSSENER URLAUB - LEITENDES PERSONAL DES FACHSTELLENPLANS - UNBEFRISTET</t>
  </si>
  <si>
    <t xml:space="preserve">ONERI SOCIALI FERIE MATURATE NON GODUTE - PERSONALE DIRIGENTE RUOLO PROFESSIONALE - TEMPO DETERMINATO  </t>
  </si>
  <si>
    <t>SOZIALABGABEN ANGEREIFTER UND NICHT GENOSSENER URLAUB - LEITENDES PERSONAL DES FACHSTELLENPLANS - BEFRISTET</t>
  </si>
  <si>
    <t xml:space="preserve">ONERI SOCIALI FERIE MATURATE NON GODUTE - PERSONALE COMPARTO RUOLO PROFESSIONALE - TEMPO INDETERMINATO </t>
  </si>
  <si>
    <t xml:space="preserve">ONERI SOCIALI FERIE MATURATE NON GODUTE - PERSONALE COMPARTO RUOLO PROFESSIONALE - TEMPO DETERMINATO </t>
  </si>
  <si>
    <t>ACCANTONAMENTI E ONERI DIFFERITI - PERSONALE RUOLO PROFESSIONALE</t>
  </si>
  <si>
    <t>RÜCKSTELLUNGEN UND AUFGESCHOBENE ZAHLUNGEN AN DAS PERSONAL DES FACHSTELLENPLANS</t>
  </si>
  <si>
    <t xml:space="preserve">INCENTIVI DA LIQUIDARE - PERSONALE DIRIGENTE RUOLO PROFESSIONALE - TEMPO INDETERMINATO </t>
  </si>
  <si>
    <t xml:space="preserve">INCENTIVI DA LIQUIDARE - PERSONALE DIRIGENTE RUOLO PROFESSIONALE - TEMPO DETERMINATO </t>
  </si>
  <si>
    <t xml:space="preserve">INCENTIVI DA LIQUIDARE - PERSONALE COMPARTO RUOLO PROFESSIONALE - TEMPO INDETERMINATO </t>
  </si>
  <si>
    <t xml:space="preserve">INCENTIVI DA LIQUIDARE - PERSONALE COMPARTO RUOLO PROFESSIONALE - TEMPO DETERMINATO </t>
  </si>
  <si>
    <t xml:space="preserve">COMPETENZE ACCESSORIE DA LIQUIDARE - PERSONALE DIRIGENTE RUOLO PROFESSIONALE - TEMPO INDETERMINATO </t>
  </si>
  <si>
    <t xml:space="preserve">COMPETENZE ACCESSORIE DA LIQUIDARE - PERSONALE DIRIGENTE RUOLO PROFESSIONALE - TEMPO DETERMINATO </t>
  </si>
  <si>
    <t xml:space="preserve">COMPETENZE ACCESSORIE DA LIQUIDARE - PERSONALE COMPARTO RUOLO PROFESSIONALE - TEMPO INDETERMINATO </t>
  </si>
  <si>
    <t xml:space="preserve">COMPETENZE ACCESSORIE DA LIQUIDARE - PERSONALE COMPARTO RUOLO PROFESSIONALE - TEMPO DETERMINATO </t>
  </si>
  <si>
    <t xml:space="preserve">ONERI SOCIALI DA LIQUIDARE - PERSONALE DIRIGENTE RUOLO PROFESSIONALE - TEMPO INDETERMINATO </t>
  </si>
  <si>
    <t xml:space="preserve">ONERI SOCIALI DA LIQUIDARE - PERSONALE DIRIGENTE RUOLO PROFESSIONALE - TEMPO DETERMINATO </t>
  </si>
  <si>
    <t xml:space="preserve">ONERI SOCIALI DA LIQUIDARE - PERSONALE COMPARTO RUOLO PROFESSIONALE - TEMPO INDETERMINATO </t>
  </si>
  <si>
    <t xml:space="preserve">ONERI SOCIALI DA LIQUIDARE - PERSONALE COMPARTO RUOLO PROFESSIONALE - TEMPO DETERMINATO </t>
  </si>
  <si>
    <t xml:space="preserve">ALTRI ONERI PER IL PERSONALE DA LIQUIDARE - PERSONALE DIRIGENTE RUOLO PROFESSIONALE - TEMPO INDETERMINATO </t>
  </si>
  <si>
    <t>ANDERE ZU LIQUIDIERENDE PERSONALAUSGABEN - LEITENDES PERSONAL DES FACHSTELLENPLANS - UNBEFRISTET</t>
  </si>
  <si>
    <t xml:space="preserve">ALTRI ONERI PER IL PERSONALE DA LIQUIDARE - PERSONALE DIRIGENTE RUOLO PROFESSIONALE - TEMPO DETERMINATO </t>
  </si>
  <si>
    <t xml:space="preserve">ALTRI ONERI PER IL PERSONALE DA LIQUIDARE - PERSONALE COMPARTO RUOLO PROFESSIONALE - TEMPO INDETERMINATO </t>
  </si>
  <si>
    <t>ANDERE ZU LIQUIDIERENDE PERSONALAUSGABEN - NICHT LEITENDES PERSONAL DES FACHSTELLENPLANS - UNBEFRISTET</t>
  </si>
  <si>
    <t xml:space="preserve">ALTRI ONERI PER IL PERSONALE DA LIQUIDARE - PERSONALE COMPARTO RUOLO PROFESSIONALE - TEMPO DETERMINATO </t>
  </si>
  <si>
    <t>ANDERE ZU LIQUIDIERENDE PERSONALAUSGABEN - NICHT LEITENDES PERSONAL DES FACHSTELLENPLANS - BEFRISTET</t>
  </si>
  <si>
    <t xml:space="preserve">ACCANTONAMENTO AL FONDO TFR - PERSONALE DIRIGENTE RUOLO PROFESSIONALE - TEMPO INDETERMINATO </t>
  </si>
  <si>
    <t>ZUWEISUNG AN RÜCKSTELLUNGEN FÜR ABFERTIGUNG - LEITENDES PERSONAL DES FACHSTELLENPLANS - UNBEFRISTET</t>
  </si>
  <si>
    <t xml:space="preserve">ACCANTONAMENTO AL FONDO TFR - PERSONALE DIRIGENTE RUOLO PROFESSIONALE - TEMPO DETERMINATO </t>
  </si>
  <si>
    <t>ZUWEISUNG AN RÜCKSTELLUNGEN FÜR ABFERTIGUNG - LEITENDES PERSONAL DES FACHSTELLENPLANS - BEFRISTET</t>
  </si>
  <si>
    <t xml:space="preserve">ACCANTONAMENTO AL FONDO TFR - PERSONALE COMPARTO RUOLO PROFESSIONALE - TEMPO INDETERMINATO </t>
  </si>
  <si>
    <t xml:space="preserve">ACCANTONAMENTO AL FONDO TFR - PERSONALE COMPARTO RUOLO PROFESSIONALE - TEMPO DETERMINATO </t>
  </si>
  <si>
    <t>COMPETENZE FISSE - PERSONALE DIRIGENTE RUOLO TECNICO - TEMPO INDETERMINATO</t>
  </si>
  <si>
    <t>FESTE BEZÜGE - LEITENDES PERSONAL DES TECHNISCHEN STELLENPLANS - UNBEFRISTET</t>
  </si>
  <si>
    <t>Costo del personale dirigente ruolo tecnico  - TEMPO indeterminato</t>
  </si>
  <si>
    <t>COMPETENZE FISSE - PERSONALE DIRIGENTE RUOLO TECNICO - TEMPO DETERMINATO</t>
  </si>
  <si>
    <t>FESTE BEZÜGE - LEITENDES PERSONAL DES TECHNISCHEN STELLENPLANS - BEFRISTET</t>
  </si>
  <si>
    <t>Costo del personale dirigente ruolo tecnico  - TEMPO determinato</t>
  </si>
  <si>
    <t>FERIE MATURATE NON GODUTE - PERSONALE DIRIGENTE RUOLO TECNICO - TEMPO INDETERMINATO</t>
  </si>
  <si>
    <t>ANGEREIFTER UND NICHT GENOSSENER URLAUB - LEITENDES PERSONAL DES TECHNISCHEN STELLENPLANS - UNBEFRISTET</t>
  </si>
  <si>
    <t>FERIE MATURATE NON GODUTE - PERSONALE DIRIGENTE RUOLO TECNICO - TEMPO DETERMINATO</t>
  </si>
  <si>
    <t>ANGEREIFTER UND NICHT GENOSSENER URLAUB - LEITENDES PERSONAL DES TECHNISCHEN STELLENPLANS - BEFRISTET</t>
  </si>
  <si>
    <t>COMPETENZE FISSE - PERSONALE COMPARTO RUOLO TECNICO - TEMPO INDETERMINATO</t>
  </si>
  <si>
    <t>Costo del personale comparto ruolo tecnico  - TEMPO indeterminato</t>
  </si>
  <si>
    <t>COMPETENZE FISSE - PERSONALE COMPARTO RUOLO TECNICO - TEMPO DETERMINATO</t>
  </si>
  <si>
    <t>Costo del personale comparto ruolo tecnico  - TEMPO determinato</t>
  </si>
  <si>
    <t>FERIE MATURATE NON GODUTE - PERSONALE COMPARTO RUOLO TECNICO - TEMPO INDETERMINATO</t>
  </si>
  <si>
    <t>FERIE MATURATE NON GODUTE - PERSONALE COMPARTO RUOLO TECNICO - TEMPO DETERMINATO</t>
  </si>
  <si>
    <t>COMPETENZE ACCESSORIE - PERSONALE DIRIGENTE RUOLO TECNICO - TEMPO INDETERMINATO</t>
  </si>
  <si>
    <t>ZUSÄTZLICHE BEZÜGE - LEITENDES PERSONAL DES TECHNISCHEN STELLENPLANS - UNBEFRISTET</t>
  </si>
  <si>
    <t>COMPETENZE ACCESSORIE - PERSONALE DIRIGENTE RUOLO TECNICO - TEMPO DETERMINATO</t>
  </si>
  <si>
    <t>ZUSÄTZLICHE BEZÜGE - LEITENDES PERSONAL DES TECHNISCHEN STELLENPLANS - BEFRISTET</t>
  </si>
  <si>
    <t>COMPETENZE ACCESSORIE - PERSONALE COMPARTO RUOLO TECNICO - TEMPO INDETERMINATO</t>
  </si>
  <si>
    <t>COMPETENZE ACCESSORIE - PERSONALE COMPARTO RUOLO TECNICO - TEMPO DETERMINATO</t>
  </si>
  <si>
    <t>INCENTIVI - PERSONALE DIRIGENTE RUOLO TECNICO - TEMPO INDETERMINATO</t>
  </si>
  <si>
    <t>PRODUKTIVITÄTSSTEIGERUNGSPRÄMIEN - LEITENDES PERSONAL DES TECHNISCHEN STELLENPLANS - UNBEFRISTET</t>
  </si>
  <si>
    <t>INCENTIVI - PERSONALE DIRIGENTE RUOLO TECNICO - TEMPO DETERMINATO</t>
  </si>
  <si>
    <t>PRODUKTIVITÄTSSTEIGERUNGSPRÄMIEN - LEITENDES PERSONAL DES TECHNISCHEN STELLENPLANS - BEFRISTET</t>
  </si>
  <si>
    <t>INCENTIVI - PERSONALE COMPARTO RUOLO TECNICO - TEMPO INDETERMINATO</t>
  </si>
  <si>
    <t>INCENTIVI - PERSONALE COMPARTO RUOLO TECNICO - TEMPO DETERMINATO</t>
  </si>
  <si>
    <t>ONERI SOCIALI - PERSONALE DIRIGENTE RUOLO TECNICO - TEMPO INDETERMINATO</t>
  </si>
  <si>
    <t>SOZIALABGABEN - LEITENDES PERSONAL DES TECHNISCHEN STELLENPLANS - UNBEFRISTET</t>
  </si>
  <si>
    <t>ONERI SOCIALI - PERSONALE DIRIGENTE RUOLO TECNICO - TEMPO DETERMINATO</t>
  </si>
  <si>
    <t>SOZIALABGABEN - LEITENDES PERSONAL DES TECHNISCHEN STELLENPLANS - BEFRISTET</t>
  </si>
  <si>
    <t>ONERI SOCIALI - PERSONALE COMPARTO RUOLO TECNICO - TEMPO INDETERMINATO</t>
  </si>
  <si>
    <t>ONERI SOCIALI - PERSONALE COMPARTO RUOLO TECNICO - TEMPO DETERMINATO</t>
  </si>
  <si>
    <t xml:space="preserve">ONERI SOCIALI FERIE MATURATE NON GODUTE - PERSONALE DIRIGENTE RUOLO TECNICO - TEMPO INDETERMINATO </t>
  </si>
  <si>
    <t>SOZIALABGABEN ANGEREIFTER UND NICHT GENOSSENER URLAUB - LEITENDES PERSONAL DES TECHNISCHEN STELLENPLANS - UNBEFRISTET</t>
  </si>
  <si>
    <t>ONERI SOCIALI FERIE MATURATE NON GODUTE - PERSONALE DIRIGENTE RUOLO TECNICO - TEMPO DETERMINATO</t>
  </si>
  <si>
    <t>SOZIALABGABEN ANGEREIFTER UND NICHT GENOSSENER URLAUB - LEITENDES PERSONAL DES TECHNISCHEN STELLENPLANS - BEFRISTET</t>
  </si>
  <si>
    <t>ONERI SOCIALI FERIE MATURATE NON GODUTE - PERSONALE COMPARTO RUOLO TECNICO - TEMPO INDETERMINATO</t>
  </si>
  <si>
    <t>ONERI SOCIALI FERIE MATURATE NON GODUTE - PERSONALE COMPARTO RUOLO TECNICO - TEMPO DETERMINATO</t>
  </si>
  <si>
    <t>ACCANTONAMENTI E ONERI DIFFERITI - PERSONALE RUOLO TECNICO</t>
  </si>
  <si>
    <t>RÜCKSTELLUNGEN UND AUFGESCHOBENE ZAHLUNGEN AN DAS PERSONAL DES TECHNISCHEN STELLENPLANS</t>
  </si>
  <si>
    <t>INCENTIVI DA LIQUIDARE - PERSONALE DIRIGENTE RUOLO TECNICO - TEMPO INDETERMINATO</t>
  </si>
  <si>
    <t>INCENTIVI DA LIQUIDARE - PERSONALE DIRIGENTE  RUOLO TECNICO - TEMPO DETERMINATO</t>
  </si>
  <si>
    <t>INCENTIVI DA LIQUIDARE - PERSONALE COMPARTO  RUOLO TECNICO - TEMPO INDETERMINATO</t>
  </si>
  <si>
    <t>ZU LIQUIDIERENDE ZUSÄTZLICHE BEZÜGE - LEITENDES PERSONAL DES TECHNISCHEN STELLENPLANS - UNBEFRISTET</t>
  </si>
  <si>
    <t>ZU LIQUIDIERENDE ZUSÄTZLICHE BEZÜGE - LEITENDES PERSONAL DES TECHNISCHEN STELLENPLANS - BEFRISTET</t>
  </si>
  <si>
    <t>ZU LIQUIDIERENDE SOZIALABGABEN - LEITENDES PERSONAL DES TECHNISCHEN STELLENPLANS - UNBEFRISTET</t>
  </si>
  <si>
    <t>ZU LIQUIDIERENDE SOZIALABGABEN - LEITENDES PERSONAL DES TECHNISCHEN STELLENPLANS - BEFRISTET</t>
  </si>
  <si>
    <t>ONERI SOCIALI DA LIQUIDARE - PERSONALE COMPARTO RUOLO TECNICO - TEMPO DETERMINATO</t>
  </si>
  <si>
    <t>ALTRI ONERI PER IL PERSONALE DA LIQUIDARE - PERSONALE DIRIGENTE RUOLO TECNICO - TEMPO INDETERMINATO</t>
  </si>
  <si>
    <t>ANDERE ZU LIQUIDIERENDE PERSONALAUSGABEN - LEITENDES PERSONAL DES TECHNISCHEN STELLENPLANS - UNBEFRISTET</t>
  </si>
  <si>
    <t>ALTRI ONERI PER IL PERSONALE DA LIQUIDARE - PERSONALE DIRIGENTE RUOLO TECNICO - TEMPO DETERMINATO</t>
  </si>
  <si>
    <t>ANDERE ZU LIQUIDIERENDE PERSONALAUSGABEN - LEITENDES PERSONAL DES TECHNISCHEN STELLENPLANS - BEFRISTET</t>
  </si>
  <si>
    <t>ANDERE ZU LIQUIDIERENDE PERSONALAUSGABEN - NICHT LEITENDES PERSONAL DES TECHNISCHEN STELLENPLANS - UNBEFRISTET</t>
  </si>
  <si>
    <t>ALTRI ONERI PER IL PERSONALE DA LIQUIDARE - PERSONALE COMPARTO RUOLO TECNICO - TEMPO DETERMINATO</t>
  </si>
  <si>
    <t>ANDERE ZU LIQUIDIERENDE PERSONALAUSGABEN - NICHT LEITENDES PERSONAL DES TECHNISCHEN STELLENPLANS - BEFRISTET</t>
  </si>
  <si>
    <t>ACCANTONAMENTO AL FONDO TFR - PERSONALE DIRIGENTE RUOLO TECNICO - TEMPO INDETERMINATO</t>
  </si>
  <si>
    <t>ZUWEISUNG AN RÜCKSTELLUNGEN FÜR ABFERTIGUNG - LEITENDES PERSONAL DES TECHNISCHEN STELLENPLANS - UNBEFRISTET</t>
  </si>
  <si>
    <t>ACCANTONAMENTO AL FONDO TFR - PERSONALE DIRIGENTE RUOLO TECNICO - TEMPO DETERMINATO</t>
  </si>
  <si>
    <t>ZUWEISUNG AN RÜCKSTELLUNGEN FÜR ABFERTIGUNG - LEITENDES PERSONAL DES TECHNISCHEN STELLENPLANS - BEFRISTET</t>
  </si>
  <si>
    <t>ACCANTONAMENTO AL FONDO TFR - PERSONALE COMPARTO RUOLO TECNICO - TEMPO INDETERMINATO</t>
  </si>
  <si>
    <t>ACCANTONAMENTO AL FONDO TFR - PERSONALE COMPARTO RUOLO TECNICO - TEMPO DETERMINATO</t>
  </si>
  <si>
    <t>COMPETENZE FISSE - PERSONALE DIRIGENTE RUOLO AMMINISTRATIVO - TEMPO INDETERMINATO</t>
  </si>
  <si>
    <t>FESTE BEZÜGE - LEITENDES PERSONAL DES VERWALTUNGSSTELLENPLANS - UNBEFRISTET</t>
  </si>
  <si>
    <t>Costo del personale dirigente ruolo amministrativo  - TEMPO indeterminato</t>
  </si>
  <si>
    <t>COMPETENZE FISSE - PERSONALE DIRIGENTE RUOLO AMMINISTRATIVO - TEMPO DETERMINATO</t>
  </si>
  <si>
    <t>FESTE BEZÜGE - LEITENDES PERSONAL DES VERWALTUNGSSTELLENPLANS - BEFRISTET</t>
  </si>
  <si>
    <t>Costo del personale dirigente ruolo amministrativo  - TEMPO determinato</t>
  </si>
  <si>
    <t>FERIE MATURATE NON GODUTE - PERSONALE DIRIGENTE RUOLO AMMINISTRATIVO - TEMPO INDETERMINATO</t>
  </si>
  <si>
    <t>ANGEREIFTER UND NICHT GENOSSENER URLAUB - LEITENDES PERSONAL DES VERWALTUNGSSTELLENPLANS - UNBEFRISTET</t>
  </si>
  <si>
    <t>FERIE MATURATE NON GODUTE - PERSONALE DIRIGENTE RUOLO AMMINISTRATIVO - TEMPO DETERMINATO</t>
  </si>
  <si>
    <t>ANGEREIFTER UND NICHT GENOSSENER URLAUB - LEITENDES PERSONAL DES VERWALTUNGSSTELLENPLANS - BEFRISTET</t>
  </si>
  <si>
    <t>COMPETENZE FISSE - PERSONALE COMPARTO RUOLO AMMINISTRATIVO - TEMPO INDETERMINATO</t>
  </si>
  <si>
    <t>Costo del personale comparto ruolo amministrativo  - TEMPO indeterminato</t>
  </si>
  <si>
    <t>COMPETENZE FISSE - PERSONALE COMPARTO RUOLO AMMINISTRATIVO - TEMPO DETERMINATO</t>
  </si>
  <si>
    <t>Costo del personale comparto ruolo amministrativo  - TEMPO determinato</t>
  </si>
  <si>
    <t>FERIE MATURATE NON GODUTE - PERSONALE COMPARTO RUOLO AMMINISTRATIVO - TEMPO INDETERMINATO</t>
  </si>
  <si>
    <t>FERIE MATURATE NON GODUTE - PERSONALE COMPARTO RUOLO AMMINISTRATIVO - TEMPO DETERMINATO</t>
  </si>
  <si>
    <t>COMPETENZE ACCESSORIE - PERSONALE DIRIGENTE RUOLO AMMINISTRATIVO - TEMPO INDETERMINATO</t>
  </si>
  <si>
    <t>ZUSÄTZLICHE BEZÜGE - LEITENDES PERSONAL DES VERWALTUNGSSTELLENPLANS - UNBEFRISTET</t>
  </si>
  <si>
    <t xml:space="preserve">COMPETENZE ACCESSORIE - PERSONALE DIRIGENTE RUOLO AMMINISTRATIVO - TEMPO DETERMINATO </t>
  </si>
  <si>
    <t>ZUSÄTZLICHE BEZÜGE - LEITENDES PERSONAL DES VERWALTUNGSSTELLENPLANS - BEFRISTET</t>
  </si>
  <si>
    <t>COMPETENZE ACCESSORIE - PERSONALE COMPARTO RUOLO AMMINISTRATIVO - TEMPO INDETERMINATO</t>
  </si>
  <si>
    <t>COMPETENZE ACCESSORIE - PERSONALE COMPARTO RUOLO AMMINISTRATIVO - TEMPO DETERMINATO</t>
  </si>
  <si>
    <t xml:space="preserve">INCENTIVI - PERSONALE DIRIGENTE RUOLO AMMINISTRATIVO - TEMPO INDETERMINATO </t>
  </si>
  <si>
    <t>PRODUKTIVITÄTSSTEIGERUNGSPRÄMIEN - LEITENDES PERSONAL DES VERWALTUNGSSTELLENPLANS - UNBEFRISTET</t>
  </si>
  <si>
    <t xml:space="preserve">INCENTIVI - PERSONALE DIRIGENTE RUOLO AMMINISTRATIVO - TEMPO DETERMINATO </t>
  </si>
  <si>
    <t>PRODUKTIVITÄTSSTEIGERUNGSPRÄMIEN - LEITENDES PERSONAL DES VERWALTUNGSSTELLENPLANS - BEFRISTET</t>
  </si>
  <si>
    <t>INCENTIVI - PERSONALE COMPARTO RUOLO AMMINISTRATIVO - TEMPO INDETERMINATO</t>
  </si>
  <si>
    <t>INCENTIVI - PERSONALE COMPARTO RUOLO AMMINISTRATIVO - TEMPO DETERMINATO</t>
  </si>
  <si>
    <t xml:space="preserve">ONERI SOCIALI - PERSONALE DIRIGENTE RUOLO AMMINISTRATIVO - TEMPO INDETERMINATO </t>
  </si>
  <si>
    <t>SOZIALABGABEN - LEITENDES PERSONAL DES VERWALTUNGSSTELLENPLANS - UNBEFRISTET</t>
  </si>
  <si>
    <t xml:space="preserve">ONERI SOCIALI - PERSONALE DIRIGENTE RUOLO AMMINISTRATIVO - TEMPO DETERMINATO </t>
  </si>
  <si>
    <t>SOZIALABGABEN - LEITENDES PERSONAL DES VERWALTUNGSSTELLENPLANS - BEFRISTET</t>
  </si>
  <si>
    <t xml:space="preserve">ONERI SOCIALI - PERSONALE COMPARTO RUOLO AMMINISTRATIVO - TEMPO INDETERMINATO </t>
  </si>
  <si>
    <t xml:space="preserve">ONERI SOCIALI - PERSONALE COMPARTO RUOLO AMMINISTRATIVO - TEMPO DETERMINATO </t>
  </si>
  <si>
    <t xml:space="preserve">ONERI SOCIALI FERIE MATURATE NON GODUTE - PERSONALE DIRIGENTE RUOLO AMMINISTRATIVO - TEMPO INDETERMINATO  </t>
  </si>
  <si>
    <t>SOZIALABGABEN ANGEREIFTER UND NICHT GENOSSENER URLAUB - LEITENDES PERSONAL DES VERWALTUNGSSTELLENPLANS - UNBEFRISTET</t>
  </si>
  <si>
    <t xml:space="preserve">ONERI SOCIALI FERIE MATURATE NON GODUTE - PERSONALE DIRIGENTE RUOLO AMMINISTRATIVO - TEMPO DETERMINATO </t>
  </si>
  <si>
    <t>SOZIALABGABEN ANGEREIFTER UND NICHT GENOSSENER URLAUB - LEITENDES PERSONAL DES VERWALTUNGSSTELLENPLANS - BEFRISTET</t>
  </si>
  <si>
    <t xml:space="preserve">ONERI SOCIALI FERIE MATURATE NON GODUTE - PERSONALE COMPARTO RUOLO AMMINISTRATIVO - TEMPO INDETERMINATO </t>
  </si>
  <si>
    <t xml:space="preserve">ONERI SOCIALI FERIE MATURATE NON GODUTE - PERSONALE COMPARTO RUOLO AMMINISTRATIVO - TEMPO DETERMINATO </t>
  </si>
  <si>
    <t>ACCANTONAMENTI E ONERI DIFFERITI - PERSONALE RUOLO AMMINISTRATIVO</t>
  </si>
  <si>
    <t>RÜCKSTELLUNGEN UND AUFGESCHOBENE ZAHLUNGEN AN DAS PERSONAL DES VERWALTUNGSSTELLENPLANS</t>
  </si>
  <si>
    <t xml:space="preserve">INCENTIVI DA LIQUIDARE - PERSONALE DIRIGENTE RUOLO AMMINISTRATIVO - TEMPO INDETERMINATO  </t>
  </si>
  <si>
    <t xml:space="preserve">INCENTIVI DA LIQUIDARE - PERSONALE DIRIGENTE RUOLO AMMINISTRATIVO - TEMPO DETERMINATO  </t>
  </si>
  <si>
    <t xml:space="preserve">INCENTIVI DA LIQUIDARE - PERSONALE COMPARTO RUOLO AMMINISTRATIVO - TEMPO INDETERMINATO  </t>
  </si>
  <si>
    <t xml:space="preserve">INCENTIVI DA LIQUIDARE - PERSONALE COMPARTO RUOLO AMMINISTRATIVO - TEMPO DETERMINATO  </t>
  </si>
  <si>
    <t>ZU LIQUIDIERENDE ZUSÄTZLICHE BEZÜGE - LEITENDES PERSONAL DES VERWALTUNGSSTELLENPLANS - UNBEFRISTET</t>
  </si>
  <si>
    <t>ZU LIQUIDIERENDE ZUSÄTZLICHE BEZÜGE - LEITENDES PERSONAL DES VERWALTUNGSSTELLENPLANS - BEFRISTET</t>
  </si>
  <si>
    <t>ZU LIQUIDIERENDE ZUSÄTZLICHE BEZÜGE - NICHT LEITENDES PERSONAL DES VERWALTUNGSSTELLENPLANS - UNBEFRISTET</t>
  </si>
  <si>
    <t>ZU LIQUIDIERENDE ZUSÄTZLICHE BEZÜGE - NICHT LEITENDES PERSONAL DES VERWALTUNGSSTELLENPLANS - BEFRISTET</t>
  </si>
  <si>
    <t xml:space="preserve">ONERI SOCIALI DA LIQUIDARE - PERSONALE DIRIGENTE RUOLO AMMINISTRATIVO - TEMPO INDETERMINATO  </t>
  </si>
  <si>
    <t>ZU LIQUIDIERENDE SOZIALABGABEN - LEITENDES PERSONAL DES VERWALTUNGSSTELLENPLANS - UNBEFRISTET</t>
  </si>
  <si>
    <t xml:space="preserve">ONERI SOCIALI DA LIQUIDARE - PERSONALE DIRIGENTE RUOLO AMMINISTRATIVO - TEMPO DETERMINATO  </t>
  </si>
  <si>
    <t>ZU LIQUIDIERENDE SOZIALABGABEN - LEITENDES PERSONAL DES VERWALTUNGSSTELLENPLANS - BEFRISTET</t>
  </si>
  <si>
    <t xml:space="preserve">ONERI SOCIALI DA LIQUIDARE - PERSONALE COMPARTO RUOLO AMMINISTRATIVO - TEMPO INDETERMINATO  </t>
  </si>
  <si>
    <t xml:space="preserve">ONERI SOCIALI DA LIQUIDARE - PERSONALE COMPARTO RUOLO AMMINISTRATIVO - TEMPO DETERMINATO  </t>
  </si>
  <si>
    <t xml:space="preserve">ALTRI ONERI PER IL PERSONALE DA LIQUIDARE - PERSONALE DIRIGENTE RUOLO AMMINISTRATIVO - TEMPO INDETERMINATO  </t>
  </si>
  <si>
    <t>ANDERE ZU LIQUIDIERENDE PERSONALAUSGABEN - LEITENDES PERSONAL DES VERWALTUNGSSTELLENPLANS - UNBEFRISTET</t>
  </si>
  <si>
    <t xml:space="preserve">ALTRI ONERI PER IL PERSONALE DA LIQUIDARE - PERSONALE DIRIGENTE RUOLO AMMINISTRATIVO - TEMPO DETERMINATO  </t>
  </si>
  <si>
    <t>ANDERE ZU LIQUIDIERENDE PERSONALAUSGABEN - LEITENDES PERSONAL DES VERWALTUNGSSTELLENPLANS - BEFRISTET</t>
  </si>
  <si>
    <t xml:space="preserve">ALTRI ONERI PER IL PERSONALE DA LIQUIDARE - PERSONALE COMPARTO RUOLO AMMINISTRATIVO - TEMPO INDETERMINATO  </t>
  </si>
  <si>
    <t>ANDERE ZU LIQUIDIERENDE PERSONALAUSGABEN - NICHT LEITENDES PERSONAL DES VERWALTUNGSSTELLENPLANS - UNBEFRISTET</t>
  </si>
  <si>
    <t xml:space="preserve">ALTRI ONERI PER IL PERSONALE DA LIQUIDARE - PERSONALE COMPARTO RUOLO AMMINISTRATIVO - TEMPO DETERMINATO  </t>
  </si>
  <si>
    <t>ANDERE ZU LIQUIDIERENDE PERSONALAUSGABEN - NICHT LEITENDES PERSONAL DES VERWALTUNGSSTELLENPLANS - BEFRISTET</t>
  </si>
  <si>
    <t xml:space="preserve">ACCANTONAMENTO AL FONDO TFR - PERSONALE DIRIGENTE  RUOLO AMMINISTRATIVO - TEMPO INDETERMINATO  </t>
  </si>
  <si>
    <t>ZUWEISUNG AN RÜCKSTELLUNGEN FÜR ABFERTIGUNG - LEITENDES PERSONAL DES VERWALTUNGSSTELLENPLANS - UNBEFRISTET</t>
  </si>
  <si>
    <t xml:space="preserve">ACCANTONAMENTO AL FONDO TFR - PERSONALE DIRIGENTE  RUOLO AMMINISTRATIVO - TEMPO DETERMINATO  </t>
  </si>
  <si>
    <t>ZUWEISUNG AN RÜCKSTELLUNGEN FÜR ABFERTIGUNG - LEITENDES PERSONAL DES VERWALTUNGSSTELLENPLANS - BEFRISTET</t>
  </si>
  <si>
    <t xml:space="preserve">ACCANTONAMENTO AL FONDO TFR - PERSONALE COMPARTO  RUOLO AMMINISTRATIVO - TEMPO INDETERMINATO  </t>
  </si>
  <si>
    <t xml:space="preserve">ACCANTONAMENTO AL FONDO TFR - PERSONALE COMPARTO  RUOLO AMMINISTRATIVO - TEMPO DETERMINATO  </t>
  </si>
  <si>
    <t>COMPENSI PER IL PERSONALE SANITARIO PREPOSTO ASSISTENZA ZOOIATRICA</t>
  </si>
  <si>
    <t>INSUSSISTENZE DELL'ATTIVO RELATIVE ALL'ACQUISTO PRESTAZ. SANITARIE DA OPERATORI ACCREDITATI</t>
  </si>
  <si>
    <t>INSUSSISTENZE DELL'ATTIVO RELATIVE ALL'ACQUISTO DI BENI E SERVIZI</t>
  </si>
  <si>
    <t>590.200.14</t>
  </si>
  <si>
    <t>WERTSCHÖPFUNGSSTEUER AUF ZU LIQUIDIERENDE LÖHNE UND GEHÄLTER </t>
  </si>
  <si>
    <t>590.220.05</t>
  </si>
  <si>
    <t>ACCANTONAMENTO AL FONDO IMPOSTE E TASSE</t>
  </si>
  <si>
    <t>ZUWEISUNGEN AN RÜCKSTELLUNG FÜR STEUERN UND GEBÜHREN</t>
  </si>
  <si>
    <t>NICHT ABZIEHBARE MWST GEM.EX-ART.19 ABS. 3, DPR 633/72</t>
  </si>
  <si>
    <t>810.300.50</t>
  </si>
  <si>
    <t>UTILIZZO QUOTA DI CONTRIBUTI IN C/CAPITALE DA AMMINISTRAZIONI STATALI PER RICERCA</t>
  </si>
  <si>
    <t>VERWENDUNG VON ANTEILEN VON STAATLICHEN INVESTITIONSBEITRÄGEN FÜR FORSCHUNG</t>
  </si>
  <si>
    <t>810.300.60</t>
  </si>
  <si>
    <t>UTILIZZO QUOTA DI CONTRIBUTI IN C/CAPITALE DA AMMINISTRAZIONI STATALI - EX ART. 20 LEGGE 67/88</t>
  </si>
  <si>
    <t>VERWENDUNG VON ANTEILEN VON STAATLICHEN INVESTITIONSBEITRÄGEN - GEM. ART. 20 GESETZ 67/88</t>
  </si>
  <si>
    <t>810.300.70</t>
  </si>
  <si>
    <t>UTILIZZO FINANZIAMENTI DA PRIVATI VINCOLATI AD INVESTIMENTI - DONAZIONI E LASCITI</t>
  </si>
  <si>
    <t xml:space="preserve">VERWENDUNG VON PRIVATEN INVESTITIONSGEBUNDENEN FINANZIERUNGEN  - SCHENKUNGEN UND LEGATE </t>
  </si>
  <si>
    <t>INCENTIVI DA LIQUIDARE - PERSONALE DIRIGENTE MEDICO RUOLO SANITARIO - TEMPO INDETERMINATO</t>
  </si>
  <si>
    <t>INCENTIVI DA LIQUIDARE - PERSONALE DIRIGENTE MEDICO RUOLO SANITARIO - TEMPO DETERMINATO</t>
  </si>
  <si>
    <t>INCENTIVI DA LIQUIDARE - PERSONALE DIRIGENTE NON MEDICO RUOLO SANITARIO - TEMPO INDETERMINATO</t>
  </si>
  <si>
    <t>INCENTIVI DA LIQUIDARE - PERSONALE DIRIGENTE NON MEDICO RUOLO SANITARIO - TEMPO DETERMINATO</t>
  </si>
  <si>
    <t>INCENTIVI DA LIQUIDARE - PERSONALE COMPARTO RUOLO SANITARIO - TEMPO DETERMINATO</t>
  </si>
  <si>
    <t>COMPETENZE ACCESSORIE DA LIQUIDARE - PERSONALE COMPARTO RUOLO SANITARIO - TEMPO INDETERMINATO</t>
  </si>
  <si>
    <t>ALTRI ONERI PER IL PERSONALE DA LIQUIDARE - PERSONALE COMPARTO RUOLO TECNICO - TEMPO INDETERMINATO</t>
  </si>
  <si>
    <t xml:space="preserve">ALTRO PERSONALE ESTERNO SANITARIO COMPARTO - TEMPO DETERMINATO   </t>
  </si>
  <si>
    <t>ALTRE IMMOBILIZZAZIONI</t>
  </si>
  <si>
    <t>ACCANTONAMENTI PER CONTENZIOSO PERSONALE DIPENDENTE</t>
  </si>
  <si>
    <t xml:space="preserve">ALTRE SOPRAVVENIENZE PASSIVE </t>
  </si>
  <si>
    <t>IRAP FERIE MATURATE NON GODUTE</t>
  </si>
  <si>
    <t>IRAP SU RETRIBUZIONI DA LIQUIDARE</t>
  </si>
  <si>
    <t xml:space="preserve">Vorabschluss/ Preconsuntivo </t>
  </si>
  <si>
    <t>PRECONSUNTIVO</t>
  </si>
  <si>
    <t>VORABSCHLUSS</t>
  </si>
  <si>
    <t>MATERIALI E PRODOTTI  PER USO VETERINARIO</t>
  </si>
  <si>
    <t>ABSCHLUSS</t>
  </si>
  <si>
    <t xml:space="preserve">Importi: Euro    </t>
  </si>
  <si>
    <t>400.500.40</t>
  </si>
  <si>
    <t>RIMBORSI PER ASSISTENZA MEDICA NELLE RESIDENZE PER ANZIANI - DA PUBBLICO DELLA PAB</t>
  </si>
  <si>
    <t>VERGÜTUNGEN FÜR ÄRZTLICHE BETREUUNG IN DEN SENIORENWOHNHEIMEN - VON ÖFFENTLICHEN EINRICHTUNGEN DES LANDES</t>
  </si>
  <si>
    <t>400.500.45</t>
  </si>
  <si>
    <t>VERGÜTUNGEN FÜR ÄRZTLICHE BETREUUNG IN DEN SENIORENWOHNHEIMEN - VON PRIVATEN DES LANDES</t>
  </si>
  <si>
    <t>ACQUISTI DI MATERIALI PER MANUTENZIONE</t>
  </si>
  <si>
    <t>EINKÄUFE VON MATERIAL FÜR INSTANDHALTUNG</t>
  </si>
  <si>
    <t>MATERIALI ED ACCESSORI PER MANUTENZIONE AUTOMEZZI</t>
  </si>
  <si>
    <t>MANUTENZIONE E RIPARAZIONE (ORDINARIA ESTERNALIZZATA)</t>
  </si>
  <si>
    <t>INSTANDHALTUNG UND REPARATUREN  (ORDENTLICHE UND AN DRITTE VERGEBENE)</t>
  </si>
  <si>
    <t>ACQUISTI SERVIZI SANITARI PER MEDICINA DI BASE</t>
  </si>
  <si>
    <t>ACQUISTI SERVIZI SANITARI PER ASSISTENZA FARMACEUTICA</t>
  </si>
  <si>
    <t>370.200.12</t>
  </si>
  <si>
    <t>ANKAUF LEISTUNGEN FÜR PHARMAZEUTISCHE BETREUUNG VON AUSLÄNDISCHEN SANITÄTSBETRIEBEN (VERRECHNETE MOBILITÄT)</t>
  </si>
  <si>
    <t>420.260.00</t>
  </si>
  <si>
    <t>260</t>
  </si>
  <si>
    <t>CONTRIBUTI A SOCIETÁ PARTECIPATE E/O ENTI DIPENDENTI DELLA PAB</t>
  </si>
  <si>
    <t>BEITRÄGE AN BETEILIGTE UNTERNEHMEN UND/ODER ABHÄNGIGE KÖRPERSCHAFTEN DES LANDES</t>
  </si>
  <si>
    <t>420.260.10</t>
  </si>
  <si>
    <t xml:space="preserve">ALTRI CANONI DI NOLEGGIO </t>
  </si>
  <si>
    <t>SONSTIGE GEBÜHREN FÜR MIETE</t>
  </si>
  <si>
    <t>ZUWEISUNGEN AN RÜCKSTELLUNGEN FÜR SONSTIGE AUSZUZAHLENDE ABGABEN - LEITUNGSORGANE</t>
  </si>
  <si>
    <t>ZUWEISUNG AN RÜCKSTELLUNG FÜR LEISTUNGSPRÄMIE (SUMAI)</t>
  </si>
  <si>
    <t>TRASFERIMENTI PREVISTI DALL'ART. 7 del D.LGS. 19.11.2008 N. 194 (RIFINANZIAMENTO CONTROLLI  VETERINARI UFFICIALI)</t>
  </si>
  <si>
    <t>ÜBERWEISUNGEN IM SINNE VON ART. 7 DER GESETZESVERORDNUNG NR. 194 vom 19.11.2008 (REFINANZIERUNG AMTSTIERÄRZTLICHE KONTROLLEN)</t>
  </si>
  <si>
    <t>ACCANTONAMENTI PER RINNOVO CONVENZIONI</t>
  </si>
  <si>
    <t>ZUWEISUNGEN AN RÜCKSTELLUNGEN FÜR VERTRAGSERNEUERUNGEN</t>
  </si>
  <si>
    <t>535.700.25</t>
  </si>
  <si>
    <t>ACCANTONAMENTI PER CONTENZIOSO PERSONALE NON DIPENDENTE</t>
  </si>
  <si>
    <t>ZUWEISUNGEN AN RÜCKSTELLUNGEN FÜR STREIFÄLLE DES NICHT BEDIENSTETEN PERSONALS</t>
  </si>
  <si>
    <t>SOPRAVVENIENZE PASSIVE V/TERZI RELATIVE ALLA MOBILITÀ EXTRA PAB</t>
  </si>
  <si>
    <t>AUSSERORDENTLICHE AUFWÄNDE GEGENÜBER DRITTEN BETREFFEND MOBILITÄT AUSSERHALB DES LANDES</t>
  </si>
  <si>
    <t>INSUSSISTENZE DELL'ATTIVO RELATIVE ALLA MOBILITÀ EXTRA PAB</t>
  </si>
  <si>
    <t>AKTIVSCHWUND BETREFFEND DIE MOBILITÄT AUSSERHALB DES LANDES</t>
  </si>
  <si>
    <t>MINUSVALENZE DA ALIENAZIONI DI IMMOBILIZZAZIONI ACQUISITE CON FINANZIAMENTI PER INVESTIMENTI - SOGGETTE A STERILIZZAZIONE</t>
  </si>
  <si>
    <t>VERLUSTE AUS VERÄUSSERUNGEN VON ANLAGEGÜTERN, DIE MIT FINANZIERUNGEN FÜR INVESTITIONEN ERWORBEN WURDEN - DER STERILISIERUNG UNTERWORFEN</t>
  </si>
  <si>
    <t xml:space="preserve">MINUSVALENZE DA ALIENAZIONI DI IMMOBILIZZAZIONI ACQUISITE CON FINANZIAMENTI PER INVESTIMENTI - SOGGETTE A STERILIZZAZIONE </t>
  </si>
  <si>
    <t>MINUSVALENZE DA ALIENAZIONI DI IMMOBILIZZAZIONI ACQUISITE CON RISERVA UTILE O ALTRI FINANZIAMENTI - NON SOGGETTE A STERILIZZAZIONE</t>
  </si>
  <si>
    <t>VERLUSTE AUS VERÄUSSERUNGEN VON MIT GEWINNVORTRÄGEN ODER ANDEREN FINANZIERUNGEN ERWORBENEN ANLAGEGÜTERN - NICHT DER STERILISIERUNG UNTERWORFEN</t>
  </si>
  <si>
    <t>ASSISTENZA INTEGRATIVA</t>
  </si>
  <si>
    <t>ERGÄNZENDE BETREUUNG</t>
  </si>
  <si>
    <t>RIMBORSI A FARMACIE PUBBLICHE PER PRESIDI SANITARI EX LP 16/2012</t>
  </si>
  <si>
    <t>400.700.21</t>
  </si>
  <si>
    <t>RIMBORSI A FARMACIE PUBBLICHE PER PRESIDI SANITARI EROGATI ALLE CASE DI RIPOSO</t>
  </si>
  <si>
    <t>RIMBORSI A FARMACIE PRIVATE ED ESERCIZI COMMERCIALI PER PRESIDI SANITARI EX LP 16/2012</t>
  </si>
  <si>
    <t>RÜCKERSTATTUNGEN AN PRIVATE APOTHEKEN UND HANDELSBETRIEBE FÜR GALENIKA</t>
  </si>
  <si>
    <t>RÜCKERSTATTUNGEN AN PRIVATE APOTHEKEN UND HANDELSBETRIEBE FÜR DIÄTPRODUKTE</t>
  </si>
  <si>
    <t>PRESTAZIONI DI CUI L.P. 16/2012 (GALENICI E MATERIALE SANITARIO)</t>
  </si>
  <si>
    <t>810.320.00</t>
  </si>
  <si>
    <t>UTILIZZO FINANZIAMENTI PER INVESTIMENTI DA PLUSVALENZE E CONTRIBUTI REINVESTITI</t>
  </si>
  <si>
    <t>VERWENDUNG VON FINANZIERUNGEN AUS INVESTIERTEN VERÄUSSERUNGSGEWINNEN UND BEITRÄGEN</t>
  </si>
  <si>
    <t>810.320.10</t>
  </si>
  <si>
    <t>INSUSSISTENZE DEL PASSIVO RELATIVE ALLA MOBILITÀ EXTRA PAB</t>
  </si>
  <si>
    <t>SOPRAVVENIENZE ATTIVE V/TERZI RELATIVE ALLA MOBILITÀ EXTRA PAB</t>
  </si>
  <si>
    <t>AUSSERORDENTLICHE ERTRÄGE GEGENÜBER DRITTEN BETREFFEND MOBILITÄT AUSSERHALB DES LANDES</t>
  </si>
  <si>
    <t>ALTRI INTERESSI ATTIVI</t>
  </si>
  <si>
    <t>SONSTIGE AKTIVZINSEN</t>
  </si>
  <si>
    <t>SPERIMENTAZIONE FARMACI</t>
  </si>
  <si>
    <t>MODELLVERSUCHE MEDIKAMENTE</t>
  </si>
  <si>
    <t>390.100.05</t>
  </si>
  <si>
    <t>ASSISTENZA SPECIALISTICA ESTERNA DA IRCCS E POLICLINICI PRIVATI CONVENZIONATI</t>
  </si>
  <si>
    <t>EXTERNE FACHÄRZTLICHE BETREUUNG VON KONVENTIONIERTEN PRIVATEN IRCCS UND POLIKLINIKEN</t>
  </si>
  <si>
    <t>390.100.12</t>
  </si>
  <si>
    <t>ASSISTENZA SPECIALISTICA ESTERNA DA OSPEDALI CLASSIFICATI PRIVATI CONVENZIONATI</t>
  </si>
  <si>
    <t>EXTERNE FACHÄRZTLICHE BETREUUNG VON KONVENTIONIERTEN ALS PRIVAT EINGESTUFTEN KRANKENHÄUSERN</t>
  </si>
  <si>
    <t>ASSISTENZA SPECIALISTICA ESTERNA DA ALTRI SOGGETTI PRIVATI CONVENZIONATI</t>
  </si>
  <si>
    <t>EXTERNE FACHÄRZTLICHE BETREUUNG VON ANDEREN KONVENTIONIERTEN PRIVATEN SUBJEKTEN</t>
  </si>
  <si>
    <t>ASSISTENZA SPECIALISTICA ESTERNA DA IRCCS PRIVATI E POLICLINICI PRIVATI</t>
  </si>
  <si>
    <t>EXTERNE FACHÄRZTLICHE BETREUUNG VON PRIVATEN IRCCS UND POLIKLINIKEN</t>
  </si>
  <si>
    <t>ASSISTENZA SPECIALISTICA ESTERNA DA CASE DI CURA PRIVATE</t>
  </si>
  <si>
    <t>390.150.14</t>
  </si>
  <si>
    <t xml:space="preserve">ASSISTENZA SPECIALISTICA ESTERNA DA OSPEDALI CLASSIFICATI PRIVATI </t>
  </si>
  <si>
    <t>EXTERNE FACHÄRZTLICHE BETREUUNG VON  ALS PRIVAT EINGESTUFTEN KRANKENHÄUSERN</t>
  </si>
  <si>
    <t>ASSISTENZA SPECIALISTICA ESTERNA DA PRIVATO PER CITTADINI NON RESIDENTI (MOBILITÀ ATTIVA IN COMPENSAZIONE)</t>
  </si>
  <si>
    <t>ASSISTENZA SPECIALISTICA ESTERNA DA ALTRI PRIVATI</t>
  </si>
  <si>
    <t>390.150.40</t>
  </si>
  <si>
    <t>ASSISTENZA SPECIALISTICA ESTERNA EROGATA DA ISTITUTI PUBBLICI EXTRA PAB (FATTURATA DIRETTAMENTE)</t>
  </si>
  <si>
    <t>EXTERNE FACHÄRZTLICHE BETREUUNG VON ÖFFENTLICHEN EINRICHTUNGEN AUSSERHALB DES LANDES (DIREKT VERRECHNET)</t>
  </si>
  <si>
    <t>390.150.50</t>
  </si>
  <si>
    <t>ACQUISTI SERVIZI SANITARI PER ASSISTENZA PROTESICA, RIABILITATIVA E INTEGRATIVA E ACQUISTO PRESTAZIONI DI PSICHIATRIA, DISTRIBUZIONE DIRETTA FARMACI, TERMALI  E SOCIO SANITARIE A RILEVANZA SANITARIA</t>
  </si>
  <si>
    <t>PROTHETISCHE BETREUUNG ART. 26, ABSATZ 3 G. 833/78 UND M.D.  332 VOM 27. AUGUST 1999</t>
  </si>
  <si>
    <t>400.150.00</t>
  </si>
  <si>
    <t>ASSISTENZA RIABILITATIVA DA SOGGETTI PUBBLICI</t>
  </si>
  <si>
    <t>400.150.10</t>
  </si>
  <si>
    <t>ASSISTENZA RIABILITATIVA RESIDENZIALE E SEMIRESIDENZIALE EX ART 26  L. 833/78 IN ISTITUTI PUBBLICI EXTRA PAB</t>
  </si>
  <si>
    <t>STATIONÄRE UND TEILSTATIONÄRE REHABILITATIONSBETREUUNG IN ÖFFENTLICHEN EINRICHTUNGEN AUSSERHALB DES LANDES GEMÄSS ART. 26 G. 833/78</t>
  </si>
  <si>
    <t>ASSISTENZA RIABILITATIVA DA SOGGETTI PRIVATI</t>
  </si>
  <si>
    <t>REHABILITATIONSBETREUUNG VON PRIVATEN SUBJEKTEN</t>
  </si>
  <si>
    <t>400.200.05</t>
  </si>
  <si>
    <t>ASSISTENZA RIABILITATIVA AMBULATORIALE E DOMICILIARE EX ART. 26  L. 833/78 EROGATA DA ISTITUTI PRIVATI NELLA PAB</t>
  </si>
  <si>
    <t>REHABILITATIONSBETREUUNG IM AMBULATORIUM UND ZUHAUSE GEMÄSS ART. 26 G. 833/78 VON PRIVATEN EINRICHTUNGEN DES LANDES</t>
  </si>
  <si>
    <t>ACQUISTO PRESTAZIONI SOCIO-SANITARIE A RILEVANZA SANITARIA - ASSISTENZA A TOSSICODIPENDENTI</t>
  </si>
  <si>
    <t>ANKAUF SOZIAL-GESUNDHEITLICHER LEISTUNGEN VON GESUNDHEITLICHER RELEVANZ - BETREUUNG VON DROGENABHÄNGIGEN</t>
  </si>
  <si>
    <t>400.300.30</t>
  </si>
  <si>
    <t>PRESTAZIONI DI ASSISTENZA AMBULATORIALE E DOMICILIARE AI TOSSICODIPENDENTI EROGATA DA ISTITUTI PRIVATI DELLA PAB</t>
  </si>
  <si>
    <t>BETREUUNG VON DROGENABHÄNGIGEN IM AMBULATORIUM UND ZUHAUSE VON PRIVATEN EINRICHTUNGEN DES LANDES</t>
  </si>
  <si>
    <t>400.300.40</t>
  </si>
  <si>
    <t>PRESTAZIONI DI ASSISTENZA RIABILITATIVA RESIDENZIALE E SEMIRESIDENZIALE AI TOSSICODIPENDENTI IN ISTITUTI PUBBLICI DELLA PAB</t>
  </si>
  <si>
    <t>STATIONÄRE UND TEILSTATIONÄRE REHABILITATIONSBETREUUNG DROGENABHÄNGIGER IN  ÖFFENTLICHEN EINRICHTUNGEN DES LANDES</t>
  </si>
  <si>
    <t>400.300.50</t>
  </si>
  <si>
    <t>PRESTAZIONI DI ASSISTENZA RIABILITATIVA RESIDENZIALE E SEMIRESIDENZIALE AI TOSSICODIPENDENTI IN ISTITUTI PUBBLICI EXTRA PAB</t>
  </si>
  <si>
    <t>STATIONÄRE UND TEILSTATIONÄRE REHABILITATIONSBETREUUNG DROGENABHÄNGIGER IN ÖFFENTLICHEN EINRICHTUNGEN AUSSERHALB DES LANDES</t>
  </si>
  <si>
    <t>400.300.60</t>
  </si>
  <si>
    <t>PRESTAZIONI DI ASSISTENZA RIABILITATIVA RESIDENZIALE E SEMIRESIDENZIALE AI TOSSICODIPENDENTI IN ISTITUTI PRIVATI DELLA PAB</t>
  </si>
  <si>
    <t>STATIONÄRE UND TEILSTATIONÄRE REHABILITATIONSBETREUUNG DROGENABHÄNGIGER IN  PRIVATEN EINRICHTUNGEN DES LANDES</t>
  </si>
  <si>
    <t>400.300.70</t>
  </si>
  <si>
    <t>PRESTAZIONI DI ASSISTENZA RIABILITATIVA RESIDENZIALE E SEMIRESIDENZIALE AI TOSSICODIPENDENTI IN ISTITUTI PRIVATI EXTRA PAB</t>
  </si>
  <si>
    <t>STATIONÄRE UND TEILSTATIONÄRE REHABILITATIONSBETREUUNG DROGENABHÄNGIGER IN  PRIVATEN EINRICHTUNGEN AUSSERHALB DES LANDES</t>
  </si>
  <si>
    <t>ACQUISTO PRESTAZIONI DI PSICHIATRIA RESIDENZIALE E SEMIRESIDENZIALE</t>
  </si>
  <si>
    <t>ANKAUF VON STATIONÄR UND TEILSTATIONÄR ERBRACHTEN PSYCHIATRISCHEN LEISTUNGEN</t>
  </si>
  <si>
    <t>400.400.30</t>
  </si>
  <si>
    <t>PRESTAZIONI DI PSICHIATRIA RESIDENZIALE E SEMIRESIDENZIALE AI DISABILI PSICHICI DA PUBBLICO DELLA PAB</t>
  </si>
  <si>
    <t>B.2.A.8.2</t>
  </si>
  <si>
    <t xml:space="preserve">da pubblico (altri soggetti pubbl. della Regione) </t>
  </si>
  <si>
    <t>400.400.40</t>
  </si>
  <si>
    <t>PRESTAZIONI DI PSICHIATRIA RESIDENZIALE E SEMIRESIDENZIALE AI DISABILI PSICHICI DA PUBBLICO EXTRA PAB</t>
  </si>
  <si>
    <t>400.400.50</t>
  </si>
  <si>
    <t>PRESTAZIONI DI PSICHIATRIA RESIDENZIALE E SEMIRESIDENZIALE AI DISABILI PSICHICI DA PRIVATO DELLA PAB</t>
  </si>
  <si>
    <t>400.400.60</t>
  </si>
  <si>
    <t>PRESTAZIONI DI PSICHIATRIA RESIDENZIALE E SEMIRESIDENZIALE AI DISABILI PSICHICI DA PRIVATO EXTRA PAB</t>
  </si>
  <si>
    <t>400.450.00</t>
  </si>
  <si>
    <t xml:space="preserve">ACQUISTO PRESTAZIONI SOCIO-SANITARIE A RILEVANZA SANITARIA - ASSISTENZA A DISABILI </t>
  </si>
  <si>
    <t>ANKAUF SOZIAL-GESUNDHEITLICHER LEISTUNGEN VON GESUNDHEITLICHER RELEVANZ - BETREUUNG VON BEHINDERTEN</t>
  </si>
  <si>
    <t>400.450.10</t>
  </si>
  <si>
    <t>PRESTAZIONI DI ASSISTENZA RIABILITATIVA RESIDENZIALE E SEMIRESIDENZIALE A DISABILI FISICI IN ISTITUTI PUBBLICI DELLA PAB</t>
  </si>
  <si>
    <t>STATIONÄRE UND TEILSTATIONÄRE REHABILITATIONSBETREUUNG KÖRPERLICH BEHINDERTER IN  ÖFFENTLICHEN EINRICHTUNGEN DES LANDES</t>
  </si>
  <si>
    <t>400.450.20</t>
  </si>
  <si>
    <t>PRESTAZIONI DI ASSISTENZA RIABILITATIVA RESIDENZIALE E SEMIRESIDENZIALE A DISABILI FISICI IN ISTITUTI PUBBLICI EXTRA PAB</t>
  </si>
  <si>
    <t>STATIONÄRE UND TEILSTATIONÄRE REHABILITATIONSBETREUUNG KÖRPERLICH BEHINDERTER IN  ÖFFENTLICHEN EINRICHTUNGEN AUSSERHALB DES LANDES</t>
  </si>
  <si>
    <t>400.450.30</t>
  </si>
  <si>
    <t>PRESTAZIONI DI ASSISTENZA RIABILITATIVA RESIDENZIALE E SEMIRESIDENZIALE A DISABILI FISICI IN ISTITUTI PRIVATI DELLA PAB</t>
  </si>
  <si>
    <t>STATIONÄRE UND TEILSTATIONÄRE REHABILITATIONSBETREUUNG KÖRPERLICH BEHINDERTER IN  PRIVATEN EINRICHTUNGEN DES LANDES</t>
  </si>
  <si>
    <t>400.450.40</t>
  </si>
  <si>
    <t>PRESTAZIONI DI ASSISTENZA RIABILITATIVA RESIDENZIALE E SEMIRESIDENZIALE A DISABILI FISICI IN ISTITUTI PRIVATI EXTRA PAB</t>
  </si>
  <si>
    <t>STATIONÄRE UND TEILSTATIONÄRE REHABILITATIONSBETREUUNG KÖRPERLICH BEHINDERTER IN  PRIVATEN EINRICHTUNGEN AUSSERHALB DES LANDES</t>
  </si>
  <si>
    <t>ASSISTENZA TERRITORIALE RESIDENZIALE PER ANZIANI NON AUTOSUFFICIENTI - RETTA GIORNALIERA - DA ISTITUTI PUBBLICI DELLA PAB</t>
  </si>
  <si>
    <t>ASSISTENZA TERRITORIALE RESIDENZIALE  PER ANZIANI NON AUTOSUFFICIENTI - RETTA GIORNALIERA - DA PRIVATO DELLA PAB</t>
  </si>
  <si>
    <t>ASSISTENZA TERRITORIALE RESIDENZIALE PER ANZIANI NON AUTOSUFFICIENTI - COSTI DEL PERSONALE - DA PRIVATO DELLA PAB</t>
  </si>
  <si>
    <t>ASSISTENZA TERRITORIALE RESIDENZIALE PER ANZIANI NON AUTOSUFFICIENTI - DA ISTITUTI PUBBLICI EXTRA PAB</t>
  </si>
  <si>
    <t>ASSISTENZA TERRITORIALE RESIDENZIALE PER ANZIANI NON AUTOSUFFICIENTI - DA PRIVATO EXTRA PAB</t>
  </si>
  <si>
    <t>STATIONÄRE BETREUUNG VON ALTEN, PFLEGEBEDÜRFTIGEN MENSCHEN AUF DEM TERRITORIUM - TAGESSATZ - VON ÖFFENTLICHEN EINRICHTUNGEN DES LANDES</t>
  </si>
  <si>
    <t>STATIONÄRE BETREUUNG VON ALTEN, PFLEGEBEDÜRFTIGEN MENSCHEN AUF DEM TERRITORIUM - PERSONALKOSTEN - VON ÖFFENTLICHEN EINRICHTUNGEN DES LANDES</t>
  </si>
  <si>
    <t>STATIONÄRE BETREUUNG VON ALTEN, PFLEGEBEDÜRFTIGEN MENSCHEN AUF DEM TERRITORIUM - VON ÖFFENTLICHEN EINRICHTUNGEN AUSSERHALB DES LANDES</t>
  </si>
  <si>
    <t>STATIONÄRE BETREUUNG VON ALTEN, PFLEGEBEDÜRFTIGEN MENSCHEN AUF DEM TERRITORIUM - VON PRIVATEN AUSSERHALB DES LANDES</t>
  </si>
  <si>
    <t>400.550.00</t>
  </si>
  <si>
    <t>ACQUISTO PRESTAZIONI SOCIO-SANITARIE A RILEVANZA SANITARIA - CURE PALLIATIVE</t>
  </si>
  <si>
    <t>ANKAUF SOZIAL-GESUNDHEITLICHER LEISTUNGEN VON GESUNDHEITLICHER RELEVANZ - PALLIATIVBETREUUNG</t>
  </si>
  <si>
    <t>400.550.10</t>
  </si>
  <si>
    <t>PALLIATIVBETREUUNG IM AMBULATORIUM UND ZUHAUSE VON ÖFFENTLICHEN EINRICHTUNGEN DES LANDES</t>
  </si>
  <si>
    <t>400.550.20</t>
  </si>
  <si>
    <t>PRESTAZIONI DI ASSISTENZA AMBULATORIALE E DOMICILIARE PER CURE PALLIATIVE EROGATA DA ISTITUTI PUBBLICI EXTRA PAB</t>
  </si>
  <si>
    <t>PALLIATIVBETREUUNG IM AMBULATORIUM UND ZUHAUSE VON ÖFFENTLICHEN EINRICHTUNGEN AUSSERHALB DES LANDES</t>
  </si>
  <si>
    <t>400.550.30</t>
  </si>
  <si>
    <t>PRESTAZIONI DI ASSISTENZA AMBULATORIALE E DOMICILIARE PER CURE PALLIATIVE EROGATA DA ISTITUTI PRIVATI DELLA PAB</t>
  </si>
  <si>
    <t>PALLIATIVBETREUUNG IM AMBULATORIUM UND ZUHAUSE VON PRIVATEN EINRICHTUNGEN DES LANDES</t>
  </si>
  <si>
    <t>400.550.40</t>
  </si>
  <si>
    <t>PRESTAZIONI DI ASSISTENZA AMBULATORIALE E DOMICILIARE PER CURE PALLIATIVE EROGATA DA ISTITUTI PRIVATI EXTRA PAB</t>
  </si>
  <si>
    <t>PALLIATIVBETREUUNG IM AMBULATORIUM UND ZUHAUSE VON PRIVATEN EINRICHTUNGEN AUSSERHALB DES LANDES</t>
  </si>
  <si>
    <t>400.550.50</t>
  </si>
  <si>
    <t>PRESTAZIONI DI ASSISTENZA RIABILITATIVA RESIDENZIALE E SEMIRESIDENZIALE PER CURE PALLIATIVE IN ISTITUTI PUBBLICI DELLA PAB</t>
  </si>
  <si>
    <t>STATIONÄRE UND TEILSTATIONÄRE REHABILITATIONSLEISTUNGEN FÜR PALLIATIVBETREUUNG IN  ÖFFENTLICHEN EINRICHTUNGEN DES LANDES</t>
  </si>
  <si>
    <t>400.550.60</t>
  </si>
  <si>
    <t>PRESTAZIONI DI ASSISTENZA RIABILITATIVA RESIDENZIALE E SEMIRESIDENZIALE PER CURE PALLIATIVE IN ISTITUTI PUBBLICI EXTRA PAB</t>
  </si>
  <si>
    <t>STATIONÄRE UND TEILSTATIONÄRE REHABILITATIONSLEISTUNGEN FÜR PALLIATIVBETREUUNG IN  ÖFFENTLICHEN EINRICHTUNGEN AUSSERHALB DES LANDES</t>
  </si>
  <si>
    <t>400.550.70</t>
  </si>
  <si>
    <t>PRESTAZIONI DI ASSISTENZA RIABILITATIVA RESIDENZIALE E SEMIRESIDENZIALE PER CURE PALLIATIVE IN ISTITUTI PRIVATI DELLA PAB</t>
  </si>
  <si>
    <t>400.550.80</t>
  </si>
  <si>
    <t>PRESTAZIONI DI ASSISTENZA RIABILITATIVA RESIDENZIALE E SEMIRESIDENZIALE PER CURE PALLIATIVE IN ISTITUTI PRIVATI EXTRA PAB</t>
  </si>
  <si>
    <t>STATIONÄRE UND TEILSTATIONÄRE REHABILITATIONSLEISTUNGEN FÜR PALLIATIVBETREUUNG IN  PRIVATEN EINRICHTUNGEN AUSSERHALB DES LANDES</t>
  </si>
  <si>
    <t>400.570.00</t>
  </si>
  <si>
    <t>ACQUISTO PRESTAZIONI SOCIO-SANITARIE A RILEVANZA SANITARIA - ASSISTENZA A PERSONE AFFETTE DA HIV</t>
  </si>
  <si>
    <t>ANKAUF SOZIAL-GESUNDHEITLICHER LEISTUNGEN VON GESUNDHEITLICHER RELEVANZ - BETREUUNG VON PERSONEN MIT HIV-INFEKTION</t>
  </si>
  <si>
    <t>400.570.10</t>
  </si>
  <si>
    <t>PRESTAZIONI DI ASSISTENZA RIABILITATIVA RESIDENZIALE E SEMIRESIDENZIALE A PERSONE AFFETTE DA HIV IN ISTITUTI PRIVATI DELLA PAB</t>
  </si>
  <si>
    <t>STATIONÄRE UND TEILSTATIONÄRE REHABILITATIONSBETREUUNG VON PERSONEN MIT HIV-INFEKTION IN  PRIVATEN EINRICHTUNGEN DES LANDES</t>
  </si>
  <si>
    <t>400.570.20</t>
  </si>
  <si>
    <t>PRESTAZIONI DI ASSISTENZA RIABILITATIVA RESIDENZIALE E SEMIRESIDENZIALE A PERSONE AFFETTE DA HIV IN ISTITUTI PRIVATI EXTRA PAB</t>
  </si>
  <si>
    <t>STATIONÄRE UND TEILSTATIONÄRE REHABILITATIONSBETREUUNG VON PERSONEN MIT HIV-INFEKTION IN  PRIVATEN EINRICHTUNGEN AUSSERHALB DES LANDES</t>
  </si>
  <si>
    <t>410.100.49</t>
  </si>
  <si>
    <t>49</t>
  </si>
  <si>
    <t>ASSISTENZA OSPEDALIERA IN REGIME DI RICOVERO DA  CASE DI CURA PRIVATE CONVENZIONATE - PER ACUZIE</t>
  </si>
  <si>
    <t>ASSISTENZA OSPEDALIERA IN REGIME DI RICOVERO DA  CASE DI CURA PRIVATE CONVENZIONATE - PER POST-ACUZIE</t>
  </si>
  <si>
    <t>410.100.52</t>
  </si>
  <si>
    <t>ASSISTENZA OSPEDALIERA IN REGIME DI RICOVERO DA OSPEDALI CLASSIFICATI PRIVATI</t>
  </si>
  <si>
    <t>STATIONÄRE KRANKENHAUSBETREUUNG VON ALS PRIVAT EINGESTUFTEN KRANKENHÄUSERN</t>
  </si>
  <si>
    <t>B.2.A.7.4.B</t>
  </si>
  <si>
    <t>Servizi sanitari per assistenza ospedaliera da Ospedali Classificati privati</t>
  </si>
  <si>
    <t>PRESTAZIONI DI RICOVERO DA  PRIVATI PER CITTADINI NON RESIDENTI NELLA PAB (MOBILITÁ ATTIVA IN COMPENSAZIONE)</t>
  </si>
  <si>
    <t>AUFENTHALTSBEZOGENE LEISTUNGEN VON PRIVATEN FÜR NICHT IM LAND ANSÄSSIGE BÜRGER (AKTIVE VERRECHNETE MOBILITÄT)</t>
  </si>
  <si>
    <t>SONSTIGE GESUNDHEITSDIENSTE UND SOZIAL-GESUNDHEITLICHE DIENSTE VON GESUNDHEITLICHER RELEVANZ VON SANITÄTSBETRIEBEN  AUSSERHALB DES LANDES (DIREKT VERRECHNET)</t>
  </si>
  <si>
    <t>ALTRI SERVIZI SANITARI DA PRIVATO</t>
  </si>
  <si>
    <t>FORNITURA DI PRODOTTI SANITARI</t>
  </si>
  <si>
    <t>SONSTIGE GESUNDHEITSLEISTUNGEN UND SOZIAL-GESUNDHEITLICHE LEISTUNGEN MIT GESUNDHEITLICHER RELEVANZ FÜR SANITÄTSBETRIEBE AUSSERHALB DES LANDES (DIREKT VERRECHNET)</t>
  </si>
  <si>
    <t>ALTRE PRESTAZIONI SANITARIE E SOCIO-SANITARIE A RILEVANZA SANITARIA AD ALTRI SOGGETTI PUBBLICI</t>
  </si>
  <si>
    <t>ALTRE PRESTAZIONI SANITARIE E SOCIO-SANITARIE A RILEVANZA SANITARIA A STRUTTURE PRIVATE</t>
  </si>
  <si>
    <t>SONSTIGE GESUNDHEITSLEISTUNGEN UND SOZIAL-GESUNDHEITLICHE LEISTUNGEN VON GESUNDHEITLICHER RELEVANZ FÜR PRIVATE EINRICHTUNGEN</t>
  </si>
  <si>
    <t>PRESTAZIONI SANITARIE EROGATE DA PRIVATI  V/ RESIDENTI EXTRAREGIONE (MOBILITÀ ATTIVA IN COMPENSAZIONE)</t>
  </si>
  <si>
    <t>PRESTAZIONI DI RICOVERO EROGATE DA PRIVATI  V/ RESIDENTI EXTRAREGIONE (MOBILITÀ ATTIVA IN COMPENSAZIONE)</t>
  </si>
  <si>
    <t>ALTRE PRESTAZIONI NON DI RICOVERO EROGATE DA PRIVATI  V/ RESIDENTI EXTRAREGIONE (MOBILITÀ ATTIVA IN COMPENSAZIONE)</t>
  </si>
  <si>
    <t>PRESTAZIONI DI RICOVERO PER ACUZIE A PRIVATI</t>
  </si>
  <si>
    <t>PRESTAZIONI DI RICOVERO PER POSTACUZIE A PRIVATI</t>
  </si>
  <si>
    <t>ALTRE PRESTAZIONI SANITARIE E SOCIO-SANITARIE A RILEVANZA SANITARIA A PRIVATI</t>
  </si>
  <si>
    <t>SONSTIGE GESUNDHEITSLEISTUNGEN UND SOZIAL-GESUNDHEITLICHE LEISTUNGEN VON GESUNDHEITLICHER RELEVANZ FÜR PRIVATE</t>
  </si>
  <si>
    <t>RICAVI PER ALTRE PRESTAZIONI NON SANITARIE</t>
  </si>
  <si>
    <t>ERLÖSE AUS ANDEREN NICHT MEDIZINISCHEN LEISTUNGEN</t>
  </si>
  <si>
    <t>IM AUFTRAG VERTEILTE MEDIKAMENTE - GESETZ NR. 405/2001 ART. 8 BUCHST. A)</t>
  </si>
  <si>
    <t>SANGUE ED EMOCOMPONENTI DA AZIENDE SANITARIE PUBBLICHE EXTRA PAB (MOBILITÀ COMPENSATA)</t>
  </si>
  <si>
    <t>ACQUISTI SERVIZI PER ASSISTENZA SANITARIA DI BASE DA  AZIENDE SANITARIE EXTRA PAB (MOBILITÀ COMPENSATA)</t>
  </si>
  <si>
    <t>ANKAUF LEISTUNGEN FÜR GESUNDHEITLICHE GRUNDVERSORGUNG VON SANITÄTSBETRIEBEN AUSSERHALB DES LANDES (VERRECHNETE MOBILITÄT)</t>
  </si>
  <si>
    <t>ANKAUF LEISTUNGEN FÜR PHARMAZEUTISCHE BETREUUNG VON SANITÄTSBETRIEBEN AUSSERHALB DES LANDES (VERRECHNETE MOBILITÄT)</t>
  </si>
  <si>
    <t>CONVENZIONI SANITARIE PER ASSISTENZA SPECIALISTICA AMBULATORIALE INTERNA</t>
  </si>
  <si>
    <t>KONVENTIONEN FÜR INTERNE AMBULANTE FACHÄRZTLICHE BETREUUNG</t>
  </si>
  <si>
    <t>EXTERNE FACHÄRZTLICHE BETREUUNG VON KONVENTIONIERTEN PRIVATKLINIKEN</t>
  </si>
  <si>
    <t>EXTERNE FACHÄRZTLICHE BETREUUNG VON SANITÄTSBETRIEBEN AUSSERHALB DES LANDES (VERRECHNETE MOBILITÄT)</t>
  </si>
  <si>
    <t>EXTERNE FACHÄRZTLICHE BETREUUNG VON PRIVATKLINIKEN</t>
  </si>
  <si>
    <t>EXTERNE FACHÄRZTLICHE BETREUUNG VON PRIVATEN FÜR NICHT ANSÄSSIGE BÜRGER (AKTIVE VERRECHNETE MOBILITÄT)</t>
  </si>
  <si>
    <t>EXTERNE FACHÄRZTLICHE BETREUUNG VON AUSLÄNDISCHEN SANITÄTSBETRIEBEN (VERRECHNETE MOBILITÄT)</t>
  </si>
  <si>
    <t>ACQUISTO PRESTAZIONI SOCIO-SANITARIE A RILEVANZA SANITARIA - ASSISTENZA A NON AUTOSUFFICIENTI</t>
  </si>
  <si>
    <t>ANKAUF SOZIAL-GESUNDHEITLICHER LEISTUNGEN VON GESUNDHEITLICHER RELEVANZ - BETREUUNG VON PFLEGEBEDÜRFTIGEN MENSCHEN</t>
  </si>
  <si>
    <t>STATIONÄRE BETREUUNG VON ALTEN, PFLEGEBEDÜRFTIGEN MENSCHEN AUF DEM TERRITORIUM - TAGESSATZ - VON PRIVATEN DES LANDES</t>
  </si>
  <si>
    <t>STATIONÄRE BETREUUNG VON ALTEN, PFLEGEBEDÜRFTIGEN MENSCHEN  AUF DEM TERRITORIUM - PERSONALKOSTEN - VON PRIVATEN DES LANDES</t>
  </si>
  <si>
    <t>400.500.50</t>
  </si>
  <si>
    <t>SONSTIGE STATIONÄRE BETREUUNG VON PFLEGEBEDÜRFTIGEN MENSCHEN AUF DEM TERRITORIUM - SOZIAL-GESUNDHEITLICHE LEISTUNGEN VON GESUNDHEITLICHER RELEVANZ - VON PRIVATEN DES LANDES</t>
  </si>
  <si>
    <t>THERMALBETREUUNG VON SANITÄTSBETRIEBEN AUSSERHALB DES LANDES (VERRECHNETE MOBILITÄT)</t>
  </si>
  <si>
    <t>ACQUISTO PRESTAZIONI PER DISTRIBUZIONE DIRETTA FARMACI DA AZIENDE SANITARIE EXTRA PAB (MOBILITÀ COMPENSATA)</t>
  </si>
  <si>
    <t>ANKAUF LEISTUNGEN FÜR DIREKTE MEDIKAMENTENVERTEILUNG VON SANITÄTSBETRIEBEN AUSSERHALB DES LANDES (VERRECHNETE MOBILITÄT)</t>
  </si>
  <si>
    <t>AUFENTHALTSBEZOGENE  LEISTUNGEN VON SANITÄTSBETRIEBEN  AUSSERHALB DES LANDES (VERRECHNETE MOBILITÄT)</t>
  </si>
  <si>
    <t>AUFENTHALTSBEZOGENE  LEISTUNGEN VON AUSLÄNDISCHEN SANITÄTSBETRIEBEN (VERRECHNETE MOBILITÄT)</t>
  </si>
  <si>
    <t>STATIONÄRE KRANKENHAUSBETREUUNG VON KONVENTIONIERTEN PRIVATKLINIKEN - AKUTPFLEGE</t>
  </si>
  <si>
    <t>KRANKENHAUSAUFENTHALTSBEZOGENE LEISTUNGEN  FÜR SANITÄTSBETRIEBE AUSSERHALB DES LANDES (VERRECHNETE MOBILITÄT)</t>
  </si>
  <si>
    <t>PRESTAZIONI DI RICOVERO AD AZIENDE SANITARIE ESTERE (MOBILITÀ COMPENSATA)</t>
  </si>
  <si>
    <t>KRANKENHAUSAUFENTHALTSBEZOGENE LEISTUNGEN  FÜR AUSLÄNDISCHE SANITÄTSBETRIEBE (VERRECHNETE MOBILITÄT)</t>
  </si>
  <si>
    <t>RICAVI PER PRESTAZIONI SANITARIE E SOCIO-SANITARIE A RILEVANZA SANITARIA (NON DI RICOVERO)</t>
  </si>
  <si>
    <t xml:space="preserve">ERLÖSE AUS GESUNDHEITSLEISTUNGEN UND SOZIAL-GESUNDHEITLICHEN LEISTUNGEN VON GESUNDHEITLICHER RELEVANZ (NICHT AUFENTHALTSBEZOGENE LEISTUNGEN) </t>
  </si>
  <si>
    <t>ALTRE PRESTAZIONI SANITARIE E SOCIO-SANITARIE A RILEVANZA SANITARIA AD AZIENDE SANITARIE EXTRA PAB (MOBILITÀ COMPENSATA)</t>
  </si>
  <si>
    <t>SONSTIGE GESUNDHEITSLEISTUNGEN UND SOZIAL-GESUNDHEITLICHE LEISTUNGEN VON GESUNDHEITLICHER RELEVANZ FÜR SANITÄTSBETRIEBE AUSSERHALB DES LANDES (VERRECHNETE MOBILITÄT)</t>
  </si>
  <si>
    <t>PRESTAZIONI NON DI RICOVERO AD AZIENDE SANITARIE E CASSE MUTUA ESTERE (FATTURATE DIRETTAMENTE)</t>
  </si>
  <si>
    <t>PRESTAZIONI NON DI RICOVERO AD AZIENDE SANITARIE ESTERE (MOBILITÀ COMPENSATA)</t>
  </si>
  <si>
    <t>740.200.60</t>
  </si>
  <si>
    <t>RÜCKZAHLUNG FÜR VERPFLEGUNG UND UNTERKUNFT DES NICHT BEDIENSTETEN PERSONALS UND VON ANDEREN PRIVATEN SUBJEKTEN</t>
  </si>
  <si>
    <t>RIMBORSO VITTO ED ALLOGGIO DA ALTRI SOGGETTI PUBBLICI</t>
  </si>
  <si>
    <t>RIMBORSO VITTO ED ALLOGGIO DA PERSONALE NON DIPENDENTE E DA ALTRI SOGGETTI PRIVATI</t>
  </si>
  <si>
    <t>RIMBORSI PER ASSISTENZA MEDICA NELLE RESIDENZE PER ANZIANI - DA PRIVATO DELLA PAB</t>
  </si>
  <si>
    <t>ALTRA ASSISTENZA TERRITORIALE  RESIDENZIALE PER NON AUTOSUFFICIENTI - PRESTAZIONI SOCIOSANITARIE A RILEVANZA SANITARIA DA PRIVATO DELLA PAB</t>
  </si>
  <si>
    <t>VERWENDUNGSGEBUNDENE BEITRÄGE DES LANDES FÜR LAUFENDE AUSGABEN AUSSERHALB DES LGF</t>
  </si>
  <si>
    <t>ANDERE AUSSERORDENTLICHE AUFWÄNDE</t>
  </si>
  <si>
    <t>UTILIZZO FINANZIAMENTI PER INVESTIMENTI - DONAZIONI E LASCITI DA SOGGETTI PUBBLICI</t>
  </si>
  <si>
    <t>VERWENDUNG VON FINANZIERUNGEN FÜR INVESTITIONEN - SCHENKUNGEN UND LEGATE VON ÖFFENTLICHEN KÖRPERSCHAFTEN</t>
  </si>
  <si>
    <t>UTILIZZO QUOTA DI DONAZIONI E LASCITI DA PAB</t>
  </si>
  <si>
    <t>VERWENDUNG VON ANTEILEN VON SCHENKUNGEN UND LEGATE SEITENS DES LANDES</t>
  </si>
  <si>
    <t>UTILIZZO QUOTA DI DONAZIONI E LASCITI DA ALTRI SOGGETTI PUBBLICI</t>
  </si>
  <si>
    <t>VERWENDUNG VON ANTEILEN VON SCHENKUNGEN UND LEGATEN SEITENS ANDERER ÖFFENTLICHER KÖRPERSCHAFTEN</t>
  </si>
  <si>
    <t>810.310.00</t>
  </si>
  <si>
    <t>810.310.10</t>
  </si>
  <si>
    <t>810.310.20</t>
  </si>
  <si>
    <t>300.450.35</t>
  </si>
  <si>
    <t>PRESIDI SANITARI PER DIABETICI - ART. 3, LEGGE Nr. 115/1987 - DISTRIBUZIONE PER CONTO DELL'AZIENDA</t>
  </si>
  <si>
    <t>400.970.00</t>
  </si>
  <si>
    <t>970</t>
  </si>
  <si>
    <t>ANKAUF LEISTUNGEN FÜR DIE VERTEILUNG IM AUFTRAG DES BETRIEBES VON HEILBEHELFEN</t>
  </si>
  <si>
    <t>400.970.05</t>
  </si>
  <si>
    <t>400.970.15</t>
  </si>
  <si>
    <t>Acquisti di servizi sanitari per assitenza integrativa</t>
  </si>
  <si>
    <t>400.700.22</t>
  </si>
  <si>
    <t>RIMBORSI A FARMACIE PRIVATE PER PRESIDI SANITARI EROGATI ALLE CASE DI RIPOSO</t>
  </si>
  <si>
    <t>descrizioni schema bilancio 2018</t>
  </si>
  <si>
    <t>codice schema bilancio 2018</t>
  </si>
  <si>
    <r>
      <t>S</t>
    </r>
    <r>
      <rPr>
        <b/>
        <sz val="12"/>
        <rFont val="Verdana"/>
        <family val="2"/>
      </rPr>
      <t>CHEMA</t>
    </r>
    <r>
      <rPr>
        <b/>
        <sz val="14"/>
        <rFont val="Verdana"/>
        <family val="2"/>
      </rPr>
      <t xml:space="preserve"> D</t>
    </r>
    <r>
      <rPr>
        <b/>
        <sz val="12"/>
        <rFont val="Verdana"/>
        <family val="2"/>
      </rPr>
      <t xml:space="preserve">I </t>
    </r>
    <r>
      <rPr>
        <b/>
        <sz val="14"/>
        <rFont val="Verdana"/>
        <family val="2"/>
      </rPr>
      <t>B</t>
    </r>
    <r>
      <rPr>
        <b/>
        <sz val="12"/>
        <rFont val="Verdana"/>
        <family val="2"/>
      </rPr>
      <t>ILANCIO</t>
    </r>
  </si>
  <si>
    <t>Decreto Interministeriale del 20 marzo 2013</t>
  </si>
  <si>
    <t xml:space="preserve">Beträge: Euro    </t>
  </si>
  <si>
    <t>BILANZSCHEMA</t>
  </si>
  <si>
    <t>Interministerielles Dekret vom 20. März 2013</t>
  </si>
  <si>
    <t>h) Wertbericht. der Finanzaktiva</t>
  </si>
  <si>
    <t>h) rettifiche di valore di attività finanziarie</t>
  </si>
  <si>
    <t>780.200.18</t>
  </si>
  <si>
    <t>INSUSSISTENZE DEL PASSIVO RELATIVE AL PERSONALE - C/TFR</t>
  </si>
  <si>
    <t>PASSIVSCHWUND BETREFFEND DAS PERSONAL K/ABFERTIGUNG ("TFR")</t>
  </si>
  <si>
    <t xml:space="preserve">descrizioni CE/SP ministeriali 2019 </t>
  </si>
  <si>
    <t xml:space="preserve">codice CE/SP ministeriali 2019 </t>
  </si>
  <si>
    <t>Direzione Generale della Digitalizzazione, del Sistema Informativo Sanitario e della Statistica</t>
  </si>
  <si>
    <t>MODELLO DI RILEVAZIONE DEL CONTO ECONOMICO 
ENTI DEL SERVIZIO SANITARIO NAZIONALE</t>
  </si>
  <si>
    <t>ENTE SSN</t>
  </si>
  <si>
    <t xml:space="preserve">    TRIMESTRE</t>
  </si>
  <si>
    <t>(Unità di euro)</t>
  </si>
  <si>
    <t>DESCRIZIONE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</si>
  <si>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</si>
  <si>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</si>
  <si>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</si>
  <si>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</si>
  <si>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</si>
  <si>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</si>
  <si>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</si>
  <si>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</si>
  <si>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</si>
  <si>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</si>
  <si>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</si>
  <si>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</si>
  <si>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</si>
  <si>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</si>
  <si>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</si>
  <si>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</si>
  <si>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</si>
  <si>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</si>
  <si>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</si>
  <si>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</si>
  <si>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</si>
  <si>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</si>
  <si>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</si>
  <si>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</si>
  <si>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</si>
  <si>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</si>
  <si>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</si>
  <si>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AA0361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</si>
  <si>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</si>
  <si>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</si>
  <si>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</si>
  <si>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</si>
  <si>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</si>
  <si>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</si>
  <si>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</si>
  <si>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</si>
  <si>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</si>
  <si>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</si>
  <si>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</si>
  <si>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</si>
  <si>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</si>
  <si>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</si>
  <si>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</si>
  <si>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</si>
  <si>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</si>
  <si>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</si>
  <si>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</si>
  <si>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</si>
  <si>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AA0471</t>
  </si>
  <si>
    <t>A.4.A.3.3) Prestazioni pronto soccorso non seguite da ricovero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</si>
  <si>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</si>
  <si>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</si>
  <si>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</si>
  <si>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</si>
  <si>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</si>
  <si>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</si>
  <si>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</si>
  <si>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</si>
  <si>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</si>
  <si>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</si>
  <si>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</si>
  <si>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</si>
  <si>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</si>
  <si>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</si>
  <si>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</si>
  <si>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</si>
  <si>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</si>
  <si>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</si>
  <si>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</si>
  <si>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</si>
  <si>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</si>
  <si>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</si>
  <si>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AA0631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</si>
  <si>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</si>
  <si>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</si>
  <si>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</si>
  <si>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>AA0831</t>
  </si>
  <si>
    <t>A.5.C.4) Altri concorsi, recuperi e rimborsi da parte della Regione - GSA</t>
  </si>
  <si>
    <t>AA0921</t>
  </si>
  <si>
    <t>A.5.E.2) Rimborso per Pay back sui dispositivi medici</t>
  </si>
  <si>
    <t>A.5.E.3) Altri concorsi, recuperi e rimborsi da privati</t>
  </si>
  <si>
    <t>A.6.A)  Compartecipazione alla spesa per prestazioni sanitarie - Ticket sulle prestazioni di specialistica ambulatoriale e APA-PAC</t>
  </si>
  <si>
    <t>B.1.A.1.1) Medicinali con AIC, ad eccezione di vaccini, emoderivati di produzione regionale, ossigeno e altri gas medicali</t>
  </si>
  <si>
    <t>BA0051</t>
  </si>
  <si>
    <t>B.1.A.1.3) Ossigeno e altri gas medicali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</si>
  <si>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</si>
  <si>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</si>
  <si>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</si>
  <si>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</si>
  <si>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</si>
  <si>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</si>
  <si>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</si>
  <si>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BA0301</t>
  </si>
  <si>
    <t>B.1.A.9.1)  Prodotti farmaceutici ed emoderivati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</si>
  <si>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</si>
  <si>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</si>
  <si>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</si>
  <si>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</si>
  <si>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</si>
  <si>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</si>
  <si>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</si>
  <si>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</si>
  <si>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</si>
  <si>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</si>
  <si>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</si>
  <si>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</si>
  <si>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BA0541</t>
  </si>
  <si>
    <t>B.2.A.3.2) prestazioni di pronto soccorso  non seguite da ricovero - da pubblico (Aziende sanitarie pubbliche della Regione)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</si>
  <si>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</si>
  <si>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</si>
  <si>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</si>
  <si>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B.2.A.3.5) - da pubblico (Extraregione)</t>
  </si>
  <si>
    <t>BA0561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</si>
  <si>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</si>
  <si>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</si>
  <si>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</si>
  <si>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</si>
  <si>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</si>
  <si>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</si>
  <si>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</si>
  <si>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</si>
  <si>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</si>
  <si>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</si>
  <si>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</si>
  <si>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</si>
  <si>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</si>
  <si>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</si>
  <si>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</si>
  <si>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</si>
  <si>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</si>
  <si>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</si>
  <si>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BA1151</t>
  </si>
  <si>
    <t>B.2.A.12.1.A) Assistenza domiciliare integrata (ADI)</t>
  </si>
  <si>
    <t>BA1152</t>
  </si>
  <si>
    <t>B.2.A.12.1.B) Altre prestazioni socio-sanitarie a rilevanza sanitaria</t>
  </si>
  <si>
    <t>BA1161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</si>
  <si>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</si>
  <si>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</si>
  <si>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</si>
  <si>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</si>
  <si>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BA1341</t>
  </si>
  <si>
    <t>B.2.A.14.7)  Rimborsi, assegni e contributi v/Regione - GSA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</si>
  <si>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</si>
  <si>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</si>
  <si>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</si>
  <si>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B.2.A.15.3.C) Collaborazioni coordinate e continuative sanitarie e sociosanitarie da privato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</si>
  <si>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</si>
  <si>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</si>
  <si>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</si>
  <si>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</si>
  <si>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B.2.A.17) Costi GSA per differenziale saldo mobilità interregionale</t>
  </si>
  <si>
    <t>BA1601</t>
  </si>
  <si>
    <t>B.2.B.1.3.A)   Mensa dipendenti</t>
  </si>
  <si>
    <t>BA1602</t>
  </si>
  <si>
    <t>B.2.B.1.3.B)   Mensa degenti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</si>
  <si>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</si>
  <si>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</si>
  <si>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BA2061</t>
  </si>
  <si>
    <t>B.4.D)  Canoni di project financing</t>
  </si>
  <si>
    <t>B.4.E)  Locazioni e noleggi da Aziende sanitarie pubbliche della Regione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</si>
  <si>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</si>
  <si>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</si>
  <si>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</si>
  <si>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</si>
  <si>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</si>
  <si>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</si>
  <si>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</si>
  <si>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</si>
  <si>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</si>
  <si>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</si>
  <si>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</si>
  <si>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</si>
  <si>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</si>
  <si>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</si>
  <si>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</si>
  <si>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</si>
  <si>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</si>
  <si>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</si>
  <si>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</si>
  <si>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</si>
  <si>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</si>
  <si>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</si>
  <si>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</si>
  <si>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</si>
  <si>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</si>
  <si>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</si>
  <si>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</si>
  <si>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</si>
  <si>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</si>
  <si>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</si>
  <si>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</si>
  <si>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</si>
  <si>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</si>
  <si>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</si>
  <si>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</si>
  <si>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</si>
  <si>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</si>
  <si>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</si>
  <si>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</si>
  <si>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</si>
  <si>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</si>
  <si>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</si>
  <si>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</si>
  <si>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</si>
  <si>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</si>
  <si>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</si>
  <si>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</si>
  <si>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</si>
  <si>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BA2741</t>
  </si>
  <si>
    <t>B.14.A.5) Accantonamenti per franchigia assicurativa</t>
  </si>
  <si>
    <t>B.14.A.6)  Altri accantonamenti per rischi</t>
  </si>
  <si>
    <t>BA2751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</si>
  <si>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</si>
  <si>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</si>
  <si>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</si>
  <si>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</si>
  <si>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</si>
  <si>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</si>
  <si>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</si>
  <si>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</si>
  <si>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</si>
  <si>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</si>
  <si>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</si>
  <si>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</si>
  <si>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</si>
  <si>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</si>
  <si>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</si>
  <si>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</si>
  <si>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</si>
  <si>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</si>
  <si>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</si>
  <si>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</si>
  <si>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</si>
  <si>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</si>
  <si>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</si>
  <si>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</si>
  <si>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</si>
  <si>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B.14.D.10) Altri accantonamenti</t>
  </si>
  <si>
    <t>EA0051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</si>
  <si>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</si>
  <si>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</si>
  <si>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</si>
  <si>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</si>
  <si>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</si>
  <si>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</si>
  <si>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</si>
  <si>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</si>
  <si>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</si>
  <si>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</si>
  <si>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EA0461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</si>
  <si>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</si>
  <si>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</si>
  <si>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</si>
  <si>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</si>
  <si>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</si>
  <si>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</si>
  <si>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</si>
  <si>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</si>
  <si>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</si>
  <si>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</si>
  <si>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 xml:space="preserve">Y) Imposte e tasse </t>
  </si>
  <si>
    <t>Totale imposte e tasse (Y)</t>
  </si>
  <si>
    <t>Data ……………………</t>
  </si>
  <si>
    <t>Il Direttore Amministrativo</t>
  </si>
  <si>
    <t>………………………………………………………………………..</t>
  </si>
  <si>
    <t>041</t>
  </si>
  <si>
    <t>PROVINCIA ATUONOMA BOLZANO</t>
  </si>
  <si>
    <t xml:space="preserve">                         Ernst Paul Huber</t>
  </si>
  <si>
    <t>Florian Zerzer</t>
  </si>
  <si>
    <t>Enrico Wegher</t>
  </si>
  <si>
    <t>300.100.42</t>
  </si>
  <si>
    <t>EMODERIVATI DI PRODUZIONE REGIONALE DA ALTRI SOGGETTI PUBBLICI</t>
  </si>
  <si>
    <t>B.1.A.1.4.3</t>
  </si>
  <si>
    <t xml:space="preserve"> Emoderivati di produzione regionale da altri soggetti</t>
  </si>
  <si>
    <t>MENSA DIPENDENTI E BUONI PASTO</t>
  </si>
  <si>
    <t xml:space="preserve">MENSA FÜR DAS BEDIENSTETE PERSONAL UND ESSENSGUTSCHEINE </t>
  </si>
  <si>
    <t>B.2.B.1.3.A</t>
  </si>
  <si>
    <t>Mensa dipendenti</t>
  </si>
  <si>
    <t>Medicinali con AIC, ad eccezione di vaccini, emoderivati di produzione regionale, ossigeno e altri gas medicali</t>
  </si>
  <si>
    <t>OSSIGENO E ALTRI GAS MEDICALI CON AIC</t>
  </si>
  <si>
    <t>Ossigeno e altri gas medicali</t>
  </si>
  <si>
    <t>OSSIGENO E ALTRI GAS MEDICALI SENZA AIC</t>
  </si>
  <si>
    <t>SAUERSTOFF  UND ANDERE MEDIZINISCHE GASE OHNE AIC</t>
  </si>
  <si>
    <t>B.1.A.1.4.2</t>
  </si>
  <si>
    <t>Emoderivati di produzione regionale da pubblico (Aziende sanitarie pubbliche della Regione) - Mobilità extraregionale</t>
  </si>
  <si>
    <t>350.450.00</t>
  </si>
  <si>
    <t>ALTRE RETI DI TRASMISSIONE DATI</t>
  </si>
  <si>
    <t>SONSTIGE DATENÜBERTRAGUNGSNETZE</t>
  </si>
  <si>
    <t>350.450.10</t>
  </si>
  <si>
    <t>B.2.A.3.7</t>
  </si>
  <si>
    <t>B.2.A.3.8.G</t>
  </si>
  <si>
    <t>B.2.A.3.8.A</t>
  </si>
  <si>
    <t>B.2.A.3.8.E</t>
  </si>
  <si>
    <t>B.2.A.3.8.C</t>
  </si>
  <si>
    <t>Servizi sanitari per assistenza specialistica da Ospedali Classificati privati</t>
  </si>
  <si>
    <t>B.2.A.3.5</t>
  </si>
  <si>
    <t>B.2.A.3.9</t>
  </si>
  <si>
    <t>390.170.00</t>
  </si>
  <si>
    <t>170</t>
  </si>
  <si>
    <t>390.170.01</t>
  </si>
  <si>
    <t>01</t>
  </si>
  <si>
    <t>prestazioni di pronto soccorso  non seguite da ricovero - da pubblico (Extraregione)</t>
  </si>
  <si>
    <t>390.170.05</t>
  </si>
  <si>
    <t>B.2.A.3.8.B</t>
  </si>
  <si>
    <t>Servizi sanitari per prestazioni di pronto soccorso non seguite da ricovero - da IRCCS privati e Policlinici privati</t>
  </si>
  <si>
    <t>390.170.10</t>
  </si>
  <si>
    <t>ERSTE-HILFE-LEISTUNGEN AUF WELCHE KEINE STATIONÄRE AUFNAHME FOLGT - VON KONVENTIONIERTEN PRIVATKLINIKEN</t>
  </si>
  <si>
    <t>B.2.A.3.8.F</t>
  </si>
  <si>
    <t xml:space="preserve"> Servizi sanitari per prestazioni di pronto soccorso non seguite da ricovero - da Case di Cura private</t>
  </si>
  <si>
    <t>390.170.12</t>
  </si>
  <si>
    <t>B.2.A.3.8.D</t>
  </si>
  <si>
    <t>Servizi sanitari per prestazioni di pronto soccorso non seguite da ricovero - da Ospedali Classificati privati</t>
  </si>
  <si>
    <t>390.170.20</t>
  </si>
  <si>
    <t>PRESTAZIONI DI PRONTO SOCCORSO NON SEGUITE DA RICOVERO - DA ALTRI SOGGETTI PRIVATI  CONVENZIONATI</t>
  </si>
  <si>
    <t>B.2.A.3.8.H</t>
  </si>
  <si>
    <t xml:space="preserve"> Servizi sanitari per prestazioni di pronto soccorso non seguite da ricovero - da altri privati</t>
  </si>
  <si>
    <t>390.170.30</t>
  </si>
  <si>
    <t>ERSTE-HILFE-LEISTUNGEN AUF WELCHE KEINE STATIONÄRE AUFNAHME FOLGT - VON NICHT KONVENTIONIERTEN  PRIVATEN IRCCS UND POLIKLINIKEN</t>
  </si>
  <si>
    <t>390.170.35</t>
  </si>
  <si>
    <t>390.170.40</t>
  </si>
  <si>
    <t>390.170.42</t>
  </si>
  <si>
    <t>PRESTAZIONI DI PRONTO SOCCORSO NON SEGUITE DA RICOVERO - DA ALTRI SOGGETTI PRIVATI NON CONVENZIONATI</t>
  </si>
  <si>
    <t>390.170.60</t>
  </si>
  <si>
    <t>B.2.A.3.10</t>
  </si>
  <si>
    <t xml:space="preserve"> Servizi sanitari per prestazioni di pronto soccorso non seguite da ricovero - da privato per cittadini non residenti - Extraregione (mobilità attiva in compensazione)</t>
  </si>
  <si>
    <t>B.2.A.12.6</t>
  </si>
  <si>
    <t>B.2.A.8.3</t>
  </si>
  <si>
    <t>- da pubblico (Extraregione) - non soggette a compensazione</t>
  </si>
  <si>
    <t>400.590.00</t>
  </si>
  <si>
    <t>ACQUISTO ALTRE PRESTAZIONI SOCIO-SANITARIE A RILEVANZA SANITARIA</t>
  </si>
  <si>
    <t>400.590.20</t>
  </si>
  <si>
    <t>da pubblico  (Extraregione) - Acquisto di Altre prestazioni sociosanitarie a rilevanza sanitaria erogate a soggetti pubblici Extraregione</t>
  </si>
  <si>
    <t>B.2.A.16.7</t>
  </si>
  <si>
    <t xml:space="preserve"> Costi per prestazioni sanitarie erogate da aziende sanitarie estere (fatturate direttamente)</t>
  </si>
  <si>
    <t>430.600.00</t>
  </si>
  <si>
    <t>CANONI DI PROJECT FINANCING</t>
  </si>
  <si>
    <t>RATEN FÜR PROJECT FINANCING</t>
  </si>
  <si>
    <t>430.600.10</t>
  </si>
  <si>
    <t>B.4.D</t>
  </si>
  <si>
    <t>Canoni di project financing</t>
  </si>
  <si>
    <t>B.14.D.10</t>
  </si>
  <si>
    <t>460.900.12</t>
  </si>
  <si>
    <t>ALTRI ONERI DIVERSI DI GESTIONE - PER AUTOASSICURAZIONE</t>
  </si>
  <si>
    <t>B.9.C.4</t>
  </si>
  <si>
    <t>Altri oneri diversi di gestione - per Autoassicurazione</t>
  </si>
  <si>
    <t>B.14.D.6</t>
  </si>
  <si>
    <t>Acc. per Trattamento di fine rapporto dipendenti</t>
  </si>
  <si>
    <t>B.11.A.2</t>
  </si>
  <si>
    <t>B.11.B</t>
  </si>
  <si>
    <t>B.12.A</t>
  </si>
  <si>
    <t>530.100.11</t>
  </si>
  <si>
    <t>B.13.A.1</t>
  </si>
  <si>
    <t>Prodotti farmaceutici ed emoderivati</t>
  </si>
  <si>
    <t>530.100.12</t>
  </si>
  <si>
    <t>ACCANTONAMENTI AL FONDO SVALUTAZIONE SCORTE - SANGUE ED EMOCOMPONENTI</t>
  </si>
  <si>
    <t>B.13.A.2</t>
  </si>
  <si>
    <t>Sangue ed emocomponenti</t>
  </si>
  <si>
    <t>530.100.13</t>
  </si>
  <si>
    <t>ACCANTONAMENTI AL FONDO SVALUTAZIONE  SCORTE - DISPOSITIVI MEDICI</t>
  </si>
  <si>
    <t>ZUWEISUNG AN DEN ABWERTUNGSFONDS DER RESTBESTÄNDE - MEDIZINPRODUKTE</t>
  </si>
  <si>
    <t>B.13.A.3</t>
  </si>
  <si>
    <t>530.100.14</t>
  </si>
  <si>
    <t>ACCANTONAMENTI AL FONDO SVALUTAZIONE SCORTE - PRODOTTI DIETETICI</t>
  </si>
  <si>
    <t>ZUWEISUNG AN DEN ABWERTUNGSFONDS DER RESTBESTÄNDE - DIÄTPRODUKTE</t>
  </si>
  <si>
    <t>B.13.A.4</t>
  </si>
  <si>
    <t>Prodotti dietetici</t>
  </si>
  <si>
    <t>530.100.15</t>
  </si>
  <si>
    <t>ACCANTONAMENTI AL FONDO SVALUTAZIONE SCORTE - MATERIALI PER LA PROFILASSI (VACCINI)</t>
  </si>
  <si>
    <t>ZUWEISUNG AN DEN ABWERTUNGSFONDS DER RESTBESTÄNDE - MATERIAL FÜR DIE PROPHYLAXE (IMPFSTOFFE)</t>
  </si>
  <si>
    <t>B.13.A.5</t>
  </si>
  <si>
    <t>Materiali per la profilassi (vaccini)</t>
  </si>
  <si>
    <t>530.100.16</t>
  </si>
  <si>
    <t>ACCANTONAMENTI AL FONDO SVALUTAZIONE SCORTE - PRODOTTI CHIMICI</t>
  </si>
  <si>
    <t>ZUWEISUNG AN DEN ABWERTUNGSFONDS DER RESTBESTÄNDE - CHEMISCHE PRODUKTE</t>
  </si>
  <si>
    <t>B.13.A.6</t>
  </si>
  <si>
    <t>530.100.17</t>
  </si>
  <si>
    <t>ACCANTONAMENTI AL FONDO SVALUTAZIONE SCORTE - MATERIALI E PRODOTTI  PER USO VETERINARIO</t>
  </si>
  <si>
    <t>B.13.A.7</t>
  </si>
  <si>
    <t>530.100.18</t>
  </si>
  <si>
    <t>ACCANTONAMENTI AL FONDO SVALUTAZIONE SCORTE - ALTRI BENI E PRODOTTI SANITARI</t>
  </si>
  <si>
    <t>B.13.A.8</t>
  </si>
  <si>
    <t>530.100.21</t>
  </si>
  <si>
    <t>VARIAZIONE DELLE SCORTE NON SANITARIE - PRODOTTI ALIMENTARI</t>
  </si>
  <si>
    <t>B.13.B.1</t>
  </si>
  <si>
    <t>530.100.22</t>
  </si>
  <si>
    <t>B.13.B.2</t>
  </si>
  <si>
    <t>Materiali di guardaroba, di pulizia, e di convivenza in genere</t>
  </si>
  <si>
    <t>530.100.23</t>
  </si>
  <si>
    <t>B.13.B.3</t>
  </si>
  <si>
    <t>530.100.24</t>
  </si>
  <si>
    <t>VARIAZIONE DELLE SCORTE NON SANITARIE - CANCELLERIA, STAMPATI E MATERIALI DI CONSUMO PER L'INFORMATICA</t>
  </si>
  <si>
    <t>B.13.B.4</t>
  </si>
  <si>
    <t>530.100.25</t>
  </si>
  <si>
    <t>VARIAZIONE DELLE SCORTE NON SANITARIE - MATERIALI PER MANUTENZIONE</t>
  </si>
  <si>
    <t>B.13.B.5</t>
  </si>
  <si>
    <t>530.100.26</t>
  </si>
  <si>
    <t>B.13.B.6</t>
  </si>
  <si>
    <t>B.14.D.3</t>
  </si>
  <si>
    <t>B.14.D.4</t>
  </si>
  <si>
    <t>B.14.D.5</t>
  </si>
  <si>
    <t>B.14.D.1</t>
  </si>
  <si>
    <t>B.14.D.2</t>
  </si>
  <si>
    <t>ACCANTONAMENTI AL FONDO PER TRATTAMENTI DI QUIESCENZA</t>
  </si>
  <si>
    <t>B.14.D.7</t>
  </si>
  <si>
    <t>Acc. per Trattamenti di quiescenza e simili</t>
  </si>
  <si>
    <t>535.630.00</t>
  </si>
  <si>
    <t>630</t>
  </si>
  <si>
    <t>ACCANTONAMENTI PER FONDI INTEGRATIVI PENSIONE</t>
  </si>
  <si>
    <t>535.630.10</t>
  </si>
  <si>
    <t>B.14.D.8</t>
  </si>
  <si>
    <t>Acc. per Fondi integrativi pensione</t>
  </si>
  <si>
    <t>B.14.A.1</t>
  </si>
  <si>
    <t>B.14.A.2</t>
  </si>
  <si>
    <t>B.14.A.6</t>
  </si>
  <si>
    <t>B.14.A.3</t>
  </si>
  <si>
    <t>B.14.A.4</t>
  </si>
  <si>
    <t>535.700.50</t>
  </si>
  <si>
    <t>ACCANTONAMENTI PER FRANCHIGIA ASSICURATIVA</t>
  </si>
  <si>
    <t>B.14.A.5</t>
  </si>
  <si>
    <t>Accantonamenti per franchigia assicurativa</t>
  </si>
  <si>
    <t>535.700.92</t>
  </si>
  <si>
    <t>92</t>
  </si>
  <si>
    <t>B.14.A.7</t>
  </si>
  <si>
    <t>Altri accantonamenti per interessi di mora</t>
  </si>
  <si>
    <t>535.800.05</t>
  </si>
  <si>
    <t>ACCANTONAMENTI PER QUOTE INUTILIZZATE DEI CONTRIBUTI INDISTINTI FINALIZZATI DA PAB DA FSP</t>
  </si>
  <si>
    <t>B.14.C.1</t>
  </si>
  <si>
    <t>Accantonamenti per quote inutilizzate contributi da Regione e Prov. Aut. per quota F.S. indistinto finalizzato</t>
  </si>
  <si>
    <t>B.14.C.2</t>
  </si>
  <si>
    <t>B.14.C.3</t>
  </si>
  <si>
    <t>B.14.C.4</t>
  </si>
  <si>
    <t>B.14.C.5</t>
  </si>
  <si>
    <t>535.800.50</t>
  </si>
  <si>
    <t>ACCANTONAMENTI PER QUOTE INUTILIZZATE DEI CONTRIBUTI PER RICERCA DA PRIVATI</t>
  </si>
  <si>
    <t>ZUWEISUNGEN AN RÜCKSTELLUNGEN FÜR NICHT VERWENDETE FORSCHUNGSBEITRÄGE VON PRIVATEN</t>
  </si>
  <si>
    <t>B.14.C.6</t>
  </si>
  <si>
    <t>Accantonamenti per quote inutilizzate contributi da soggetti privati per ricerca</t>
  </si>
  <si>
    <t>560.200.05</t>
  </si>
  <si>
    <t>INSUSSISTENZE DELL'ATTIVO RELATIVE A QUOTE DI CONTRIBUTI VINCOLATI DA PAB</t>
  </si>
  <si>
    <t>E.2.B.4.1</t>
  </si>
  <si>
    <t xml:space="preserve"> Insussistenze passive per quote F.S. vincolato</t>
  </si>
  <si>
    <t>E.2.B.4.3.A</t>
  </si>
  <si>
    <t>E.2.B.4.3.B</t>
  </si>
  <si>
    <t>E.2.B.4.3.C</t>
  </si>
  <si>
    <t>E.2.B.4.3.D</t>
  </si>
  <si>
    <t>E.2.B.4.3.E</t>
  </si>
  <si>
    <t>E.2.B.4.3.F</t>
  </si>
  <si>
    <t>E.2.B.4.3.G</t>
  </si>
  <si>
    <t>600.100.11</t>
  </si>
  <si>
    <t>600.100.12</t>
  </si>
  <si>
    <t>VARIAZIONE DELLE SCORTE - SANGUE ED EMOCOMPONENTI</t>
  </si>
  <si>
    <t>600.100.13</t>
  </si>
  <si>
    <t>VARIAZIONE DELLE SCORTE - DISPOSITIVI MEDICI</t>
  </si>
  <si>
    <t>VERÄNDERUNGEN DER RESTBESTÄNDE - MEDIZINPRODUKTE</t>
  </si>
  <si>
    <t>600.100.14</t>
  </si>
  <si>
    <t>VARIAZIONE DELLE SCORTE - PRODOTTI DIETETICI</t>
  </si>
  <si>
    <t>VERÄNDERUNGEN DER RESTBESTÄNDE - DIÄTPRODUKTE</t>
  </si>
  <si>
    <t>600.100.15</t>
  </si>
  <si>
    <t>VARIAZIONE DELLE SCORTE - MATERIALI PER LA PROFILASSI (VACCINI)</t>
  </si>
  <si>
    <t>VERÄNDERUNGEN DER RESTBESTÄNDE - MATERIAL FÜR DIE PROPHYLAXE (IMPFSTOFFE)</t>
  </si>
  <si>
    <t>600.100.16</t>
  </si>
  <si>
    <t>VARIAZIONE DELLE SCORTE - PRODOTTI CHIMICI</t>
  </si>
  <si>
    <t>VERÄNDERUNGEN DER RESTBESTÄNDE - CHEMISCHE PRODUKTE</t>
  </si>
  <si>
    <t>600.100.17</t>
  </si>
  <si>
    <t>VARIAZIONE DELLE SCORTE - MATERIALI E PRODOTTI  PER USO VETERINARIO</t>
  </si>
  <si>
    <t>600.100.18</t>
  </si>
  <si>
    <t>VARIAZIONE DELLE SCORTE - ALTRI BENI E PRODOTTI SANITARI</t>
  </si>
  <si>
    <t>600.200.11</t>
  </si>
  <si>
    <t>600.200.12</t>
  </si>
  <si>
    <t>600.200.13</t>
  </si>
  <si>
    <t>600.200.14</t>
  </si>
  <si>
    <t>600.200.15</t>
  </si>
  <si>
    <t>600.200.16</t>
  </si>
  <si>
    <t>A.1.A.1.1</t>
  </si>
  <si>
    <t>Finanziamento indistinto</t>
  </si>
  <si>
    <t>700.100.12</t>
  </si>
  <si>
    <t>CONTRIBUTI IN C/ESERCIZIO DA PAB CON DESTINAZIONE INDISTINTA FINALIZZATA</t>
  </si>
  <si>
    <t>A.1.A.1.2</t>
  </si>
  <si>
    <t>Finanziamento indistinto finalizzato</t>
  </si>
  <si>
    <t>700.100.14</t>
  </si>
  <si>
    <t>CONTRIBUTI IN C/ESERCIZIO DA PAB CON DESTINAZIONE INDISTINTA PER FUNZIONI - PRONTO SOCCORSO</t>
  </si>
  <si>
    <t>A.1.A.1.3.A</t>
  </si>
  <si>
    <t>Funzioni - Pronto Soccorso</t>
  </si>
  <si>
    <t>700.100.16</t>
  </si>
  <si>
    <t>CONTRIBUTI IN C/ESERCIZIO DA PAB CON DESTINAZIONE INDISTINTA PER FUNZIONI</t>
  </si>
  <si>
    <t>A.1.A.1.3.B</t>
  </si>
  <si>
    <t>Funzioni - Altro</t>
  </si>
  <si>
    <t>BEITRÄGE FÜR LAUFENDE AUSGABEN VOM GESUNDHEITSMINISTERIUM UND ANDEREN STAATLICHEN VERWALTUNGEN</t>
  </si>
  <si>
    <t>710.100.05</t>
  </si>
  <si>
    <t>CONTRIBUTI IN C/ESERCIZIO DA MINISTERO DELLA SALUTE (EXTRA FONDO)</t>
  </si>
  <si>
    <t>BEITRÄGE FÜR LAUFENDE AUSGABEN VOM GESUNDHEITSMINISTERIUM (AUSSERHALB DES LGF)</t>
  </si>
  <si>
    <t>Contributi da Ministero della Salute (extra fondo)</t>
  </si>
  <si>
    <t>CONTRIBUTI IN C/ESERCIZIO DA AMMINISTRAZIONI STATALI CON VINCOLO DI DESTINAZIONE</t>
  </si>
  <si>
    <t>VERWENDUNGSGEBUNDENE BEITRÄGE FÜR LAUFENDE AUSGABEN VON STAATLICHEN VERWALTUNGEN</t>
  </si>
  <si>
    <t>CONTRIBUTI IN C/ESERCIZIO DA ALTRI ENTI PUBBLICI CON VINCOLO DI DESTINAZIONE</t>
  </si>
  <si>
    <t>VERWENDUNGSGEBUNDENE BEITRÄGE FÜR LAUFENDE AUSGABEN VON ANDEREN ÖFFENTLICHEN KÖRPERSCHAFTEN</t>
  </si>
  <si>
    <t>A.1.B.3.2</t>
  </si>
  <si>
    <t>710.400.05</t>
  </si>
  <si>
    <t>UTILIZZO FONDI PER QUOTE INUTILIZZATE CONTRIBUTI DI ESERCIZI PRECEDENTI DA PAB PER FSP DA INDISTINTA FINALIZZATA</t>
  </si>
  <si>
    <t>Utilizzo fondi per quote inutilizzate contributi di esercizi precedenti da Regione o Prov. Aut. per quota F.S. regionale indistinto finalizzato</t>
  </si>
  <si>
    <t>A.3.E</t>
  </si>
  <si>
    <t>A.4.A.3.15.B</t>
  </si>
  <si>
    <t>A.4.A.3.18</t>
  </si>
  <si>
    <t>A.4.A.3.16</t>
  </si>
  <si>
    <t>A.4.A.3.14</t>
  </si>
  <si>
    <t>A.4.A.3.12</t>
  </si>
  <si>
    <t>Altre prestazioni sanitarie e sociosanitarie a rilevanza sanitaria erogate a soggetti pubblici Extraregione</t>
  </si>
  <si>
    <t>720.200.31</t>
  </si>
  <si>
    <t>PRESTAZIONI ASSISTENZA INTEGRATIVA AD AZIENDE SANITARIE PUBBLICHE (EXTRAREGIONE)</t>
  </si>
  <si>
    <t>Prestazioni assistenza integrativa da pubblico (extraregione)</t>
  </si>
  <si>
    <t>720.200.32</t>
  </si>
  <si>
    <t>PRESTAZIONI ASSISTENZA PROTESICA AD AZIENDE SANITARIE PUBBLICHE (EXTRAREGIONE)</t>
  </si>
  <si>
    <t>A.4.A.3.11</t>
  </si>
  <si>
    <t>Prestazioni assistenza protesica da pubblico (extraregione)</t>
  </si>
  <si>
    <t>720.200.60</t>
  </si>
  <si>
    <t>Prestazioni pronto soccorso non seguite da ricovero</t>
  </si>
  <si>
    <t>720.200.80</t>
  </si>
  <si>
    <t>ALTRE PRESTAZIONI SANITARIE E SOCIO-SANITARIE A RILEVANZA SANITARIA NON SOGGETTE A COMPENSAZIONE EXTRA PAB</t>
  </si>
  <si>
    <t>A.4.A.15.B</t>
  </si>
  <si>
    <t>720.250.25</t>
  </si>
  <si>
    <t>A.4.B.3</t>
  </si>
  <si>
    <t xml:space="preserve">  Prestazioni  di pronto soccorso non seguite da ricovero da priv. Extraregione in compensazione  (mobilità attiva)</t>
  </si>
  <si>
    <t>720.250.30</t>
  </si>
  <si>
    <t>LEISTUNGEN FÜR DIE VERTEILUNG VON MEDIKAMENTEN IM RAHMEN VON FILE F - VON PRIVATEN FÜR NICHT IM LAND ANSÄSSIGE BÜRGER (AKTIVE VERRECHNETE MOBILITÄT)</t>
  </si>
  <si>
    <t>Prestazioni di File F da priv. Extraregione in compensazione (mobilità attiva)</t>
  </si>
  <si>
    <t>A.4.B.5</t>
  </si>
  <si>
    <t>A.5.E.3</t>
  </si>
  <si>
    <t>740.300.15</t>
  </si>
  <si>
    <t>RIMBORSO PER PAY BACK SUI DISPOSITIVI MEDICI</t>
  </si>
  <si>
    <t>PAY-BACK-RÜCKVERGÜTUNGEN FÜR MEDIZINPRODUKTE</t>
  </si>
  <si>
    <t>Rimborso per Pay-back sui dispositivi medici</t>
  </si>
  <si>
    <t>770.900.30</t>
  </si>
  <si>
    <t>PROVENTI FINANZIARI DA CREDITI ISCRITTI NELLE IMMOBILIZZAZIONI</t>
  </si>
  <si>
    <t>FINANZERTRÄGE AUS FORDERUNGEN DES FINANZANLAGEVERMÖGENS</t>
  </si>
  <si>
    <t>C.2.B</t>
  </si>
  <si>
    <t>Proventi finanziari da crediti iscritti nelle immobilizzazioni</t>
  </si>
  <si>
    <t>770.900.90</t>
  </si>
  <si>
    <t>C.2.D</t>
  </si>
  <si>
    <t>Altri proventi finanziari diversi dai precedenti</t>
  </si>
  <si>
    <t>E.1.B.2.3.A</t>
  </si>
  <si>
    <t>E.1.B.2.3.B</t>
  </si>
  <si>
    <t>E.1.B.2.3.C</t>
  </si>
  <si>
    <t>E.1.B.2.3.D</t>
  </si>
  <si>
    <t>E.1.B.2.3.E</t>
  </si>
  <si>
    <t>E.1.B.2.3.F</t>
  </si>
  <si>
    <t>E.1.B.2.3.G</t>
  </si>
  <si>
    <t>400.100.01</t>
  </si>
  <si>
    <t>ASSISTENZA PROTESICA DA ALTRI SOGGETTI PUBBLICI DELLA PAB ART. 26, C. 3 L. 833/78 E DM 27 AGOSTO 1999, N. 332.</t>
  </si>
  <si>
    <t>B.2.A.6.2</t>
  </si>
  <si>
    <t>400.100.02</t>
  </si>
  <si>
    <t>02</t>
  </si>
  <si>
    <t>ASSISTENZA PROTESICA DA PUBBLICO EXTRA PAB ART. 26, C. 3 L. 833/78 E DM 27 AGOSTO 1999, N. 332.</t>
  </si>
  <si>
    <t>B.2.A.6.3</t>
  </si>
  <si>
    <t>ZUWEISUNGEN AN RÜCKSTELLUNGEN FÜR NICHT VERWENDETE BETRÄGE DER NICHT ZWECKGEBUNDENEN ZIELGERICHTETEN BEITRÄGE DES LANDES AUS DEM LGF</t>
  </si>
  <si>
    <t>535.900.50</t>
  </si>
  <si>
    <t>B.16.D.1</t>
  </si>
  <si>
    <t>Accantonamenti per interessi di mora</t>
  </si>
  <si>
    <t>LIEFERUNG VON MEDIZINISCHEN GÜTERN VON SANITÄTSBETRIEBEN AUSSERHALB DES LANDES</t>
  </si>
  <si>
    <t>da pubblico (Extraregione) non soggette a compensazione</t>
  </si>
  <si>
    <t>Acquisti prestazioni  socio-sanitarie a rilevanza sanitaria</t>
  </si>
  <si>
    <t>ASSISTENZA SPECIALISTICA ESTERNA - PRESTAZIONI DI PRONTO SOCCORSO NON SEGUITE DA RICOVERO</t>
  </si>
  <si>
    <t>PRESTAZIONI DI PRONTO SOCCORSO NON SEGUITE DA RICOVERO - DA IRCCS PRIVATI E POLICLINICI PRIVATI CONVENZIONATI</t>
  </si>
  <si>
    <t>PRESTAZIONI DI PRONTO SOCCORSO NON SEGUITE DA RICOVERO - DA CASE DI CURA PRIVATE CONVENZIONATE</t>
  </si>
  <si>
    <t>PRESTAZIONI DI PRONTO SOCCORSO NON SEGUITE DA RICOVERO - DA OSPEDALI CLASSIFICATI PRIVATI CONVENZIONATI</t>
  </si>
  <si>
    <t>PRESTAZIONI DI PRONTO SOCCORSO NON SEGUITE DA RICOVERO - DA IRCCS PRIVATI E POLICLINICI PRIVATI NON CONVENZIONATI</t>
  </si>
  <si>
    <t>PRESTAZIONI DI PRONTO SOCCORSO NON SEGUITE DA RICOVERO - DA CASE DI CURA PRIVATE NON CONVENZIONATE</t>
  </si>
  <si>
    <t>PRESTAZIONI DI PRONTO SOCCORSO NON SEGUITE DA RICOVERO - DA OSPEDALI CLASSIFICATI PRIVATI NON CONVENZIONATI</t>
  </si>
  <si>
    <t>ACCANTONAMENTI AL FONDO SVALUTAZIONE  SCORTE - PRODOTTI FARMACEUTICI ED EMODERIVATI</t>
  </si>
  <si>
    <t>VARIAZIONE DELLE SCORTE NON SANITARIE - TESSILI, VESTIARIO E MATERIALI PER LA PULIZIA E DI CONVIVENZA</t>
  </si>
  <si>
    <t>VARIAZIONE DELLE SCORTE NON SANITARIE - COMBUSTIBILI, CARBURANTI E LUBRIFICANTI</t>
  </si>
  <si>
    <t>VARIAZIONE DELLE SCORTE NON SANITARIE - ALTRI BENI NON SANITARI</t>
  </si>
  <si>
    <t>VARIAZIONE DELLE SCORTE - PRODOTTI FARMACEUTICI ED EMODERIVATI</t>
  </si>
  <si>
    <t>PRESTAZIONI DI PRONTO SOCCORSO NON SEGUITO DA RICOVERO AD AZIENDE SANITARIE EXTRA PAB</t>
  </si>
  <si>
    <t>PRESTAZIONI DI PRONTO SOCCORSO NON SEGUITE DA RICOVERO EROGATE DA PRIVATI  V/ RESIDENTI EXTRAREGIONE (MOBILITÀ ATTIVA IN COMPENSAZIONE)</t>
  </si>
  <si>
    <t>PRESTAZIONI DI DISTRIBUZIONE FARMACI FILE F EROGATE DA PRIVATI  V/ RESIDENTI EXTRA PAB (MOBILITÀ ATTIVA IN COMPENSAZIONE)</t>
  </si>
  <si>
    <t>PRESTAZIONI NON DI RICOVERO - AMBULATORIALI - EROGATE DA PRIVATI  V/ RESIDENTI EXTRAREGIONE (MOBILITÀ ATTIVA IN COMPENSAZIONE)</t>
  </si>
  <si>
    <t xml:space="preserve">NICHT VERWENDUNGSGEBUNDENE ZIELGERICHTETE BEITRÄGE DES LANDES FÜR LAUFENDE AUSGABEN </t>
  </si>
  <si>
    <t>NICHT VERWENDUNGSGEBUNDENE BEITRÄGE DES LANDES FÜR LAUFENDE AUSGABEN - NOTAUFNAHME</t>
  </si>
  <si>
    <t>NICHT VERWENDUNGSGEBUNDENE BEITRÄGE DES LANDES FÜR LAUFENDE AUSGABEN -VERSORGUNGSFUNKTIONEN</t>
  </si>
  <si>
    <t>ATTENZIONE - NUOVI CONTI A ZERO</t>
  </si>
  <si>
    <t>340.900.05</t>
  </si>
  <si>
    <t>ALTRI SERVIZI RESI DA ENTI PUBBLICI</t>
  </si>
  <si>
    <t xml:space="preserve">SONSTIGE VON ÖFFENTLICHEN EINRICHTUNGEN ERBRACHTE DIENSTLEISTUNGEN </t>
  </si>
  <si>
    <t>B.2.B.1.12.B</t>
  </si>
  <si>
    <t>Altri servizi non sanitari da altri soggetti pubblici</t>
  </si>
  <si>
    <t>3. trimester</t>
  </si>
  <si>
    <t>3.Trim/3*4</t>
  </si>
  <si>
    <t>BLUTPRODUKTE AUS REGIONALER PRODUKTION VON ÖFFENTLICHEN SANITÄTSBETRIEBEN AUSSERHALB DES LANDES (VERRECHNETE MOBILITÄT)</t>
  </si>
  <si>
    <t>BLUTPRODUKTE AUS REGIONALER PRODUKTION VON ANDEREN ÖFFENTLICHEN EINRICHTUNGEN</t>
  </si>
  <si>
    <t>BLUT UND BLUTBESTANDTEILE</t>
  </si>
  <si>
    <t>BLUT UND BLUTBESTANDTEILE VON ÖFFENTLICHEN SANITÄTSBETRIEBEN AUSSERHALB DES LANDES (VERRECHNETE MOBILITÄT)</t>
  </si>
  <si>
    <t>BLUT UND BLUTBESTANDTEILE VON ANDEREN ANBIETERN</t>
  </si>
  <si>
    <t>MATERIAL FÜR HYGIENISCH-GESUNDHEITLICHE PROPHYLAXE</t>
  </si>
  <si>
    <t xml:space="preserve">TIERÄRZTLICHE MEDIZINISCHE PRODUKTE </t>
  </si>
  <si>
    <t>TIERÄRZTLICHES MATERIAL UND  PRODUKTE</t>
  </si>
  <si>
    <t>ANDERE MEDIZINISCHE GÜTER UND PRODUKTE</t>
  </si>
  <si>
    <t>EINKÄUFE VON NICHT-MEDIZINISCHEN  GÜTERN</t>
  </si>
  <si>
    <t>SCHREIBWAREN, DRUCKWARE UND VERBRAUCHSMATERIAL FÜR INFORMATIK</t>
  </si>
  <si>
    <t>EINKÄUFE VON ANDEREN NICHT-MEDIZINISCHEN GÜTERN</t>
  </si>
  <si>
    <t>LEISTUNGEN FÜR PATIENTENTRANSPORT</t>
  </si>
  <si>
    <t>SERVIZI DI TRASPORTO SANITARI DA ALTRI SOGGETTI PUBBLICI DELLA PAB - ELISOCCORSO</t>
  </si>
  <si>
    <t>LEISTUNGEN FÜR PATIENTENTRANSPORT VON ANDEREN ÖFFENTLICHEN EINRICHTUNGEN DES LANDES - FLUGRETTUNG</t>
  </si>
  <si>
    <t>LEISTUNGEN FÜR PATIENTENTRANSPORT VON PRIVATEN - FLUGRETTUNG</t>
  </si>
  <si>
    <t>ANDERE PATIENTENTRANSPORTE VON ANDEREN ÖFFENTLICHEN EINRICHTUNGEN DES LANDES</t>
  </si>
  <si>
    <t>PATIENTENTRANSPORTE VON ÖFFENTLICHEN EINRICHTUNGEN AUSSERHALB DES LANDES VERRECHNET</t>
  </si>
  <si>
    <t>SERVIZI DI TRASPORTO SANITARI DA PUBBLICO EXTRA PAB (MOBILITÀ COMPENSATA)</t>
  </si>
  <si>
    <t>PATIENTENTRANSPORTE VON ÖFFENTLICHEN EINRICHTUNGEN AUSSERHALB DES LANDES (VERRECHNETE MOBILITÄT)</t>
  </si>
  <si>
    <t>PATIENTENTRANSPORTE VON PRIVATEN</t>
  </si>
  <si>
    <t>NICHT-MEDIZINISCHE TRANSPORTE</t>
  </si>
  <si>
    <t>GESUNDHEITSBERATUNGEN VON SANITÄTSBETRIEBEN AUSSERHALB DES LANDES</t>
  </si>
  <si>
    <t>GESUNDHEITSBERATUNGEN VON AUSLÄNDISCHEN SANITÄTSBETRIEBEN</t>
  </si>
  <si>
    <t>GESUNDHEITSBERATUNGEN VON PRIVATEN GESUNDHEITSEINRICHTUNGEN</t>
  </si>
  <si>
    <t>ANDERE GESUNDHEITSBERATUNGEN</t>
  </si>
  <si>
    <t>ALTRI SERVIZI RESI DA ASSOCIAZIONI E DA ALTRI PRIVATI</t>
  </si>
  <si>
    <t xml:space="preserve">SONSTIGE VON VEREINEN UND ANDEREN PRIVATEN ERBRACHTE DIENSTLEISTUNGEN </t>
  </si>
  <si>
    <t>DIENST FÜR DIE ZUVERFÜGUNGSTELLUNG VON GESUNDHEITSPERSONAL</t>
  </si>
  <si>
    <t>EINKÄUFE VON GESUNDHEITSLEISTUNGEN - BASISMEDIZIN</t>
  </si>
  <si>
    <t>KONVENTIONEN FÜR KINDERÄRZTLICHE BETREUUNG</t>
  </si>
  <si>
    <t>VERGÜTUNGEN - KONVENTIONEN FÜR KINDERÄRZTLICHE BETREUUNG</t>
  </si>
  <si>
    <t>SOZIALABGABEN - KONVENTIONEN FÜR KINDERÄRZTLICHE BETREUUNG</t>
  </si>
  <si>
    <t>KONVENTIONEN FÜR ÄRZTLICHEN BEREITSCHAFTSDIENST NACHT- UND FEIERTAGE</t>
  </si>
  <si>
    <t>VERGÜTUNGEN - KONVENTIONEN FÜR ÄRZTLICHEN BEREITSCHAFTSDIENST NACHT- UND FEIERTAGE</t>
  </si>
  <si>
    <t>LEISTUNGEN DER NOTAUFNAHME OHNE ANSCHLIESSENDE  STATIONÄRE AUFNAHME - VON SANITÄTSBETRIEBEN AUSSERHALB DES LANDES (VERRECHNETE MOBILITÄT)</t>
  </si>
  <si>
    <t>LEISTUNGEN DER NOTAUFNAHME OHNE ANSCHLIESSENDE  STATIONÄRE AUFNAHME - VON KONVENTIONIERTEN  PRIVATEN IRCCS UND POLIKLINIKEN</t>
  </si>
  <si>
    <t>LEISTUNGEN DER NOTAUFNAHME OHNE ANSCHLIESSENDE  STATIONÄRE AUFNAHME - VON KONVENTIONIERTEN ALS PRIVAT EINGESTUFTEN KRANKENHÄUSERN</t>
  </si>
  <si>
    <t>LEISTUNGEN DER NOTAUFNAHME OHNE ANSCHLIESSENDE  STATIONÄRE AUFNAHME - VON ANDEREN KONVENTIONIERTEN PRIVATEN EINRICHTUNGEN</t>
  </si>
  <si>
    <t>LEISTUNGEN DER NOTAUFNAHME OHNE ANSCHLIESSENDE  STATIONÄRE AUFNAHME - VON NICHT KONVENTIONIERTEN PRIVATKLINIKEN</t>
  </si>
  <si>
    <t>LEISTUNGEN DER NOTAUFNAHME OHNE ANSCHLIESSENDE  STATIONÄRE AUFNAHME - VON NICHT KONVENTIONIERTEN ALS PRIVAT EINGESTUFTEN KRANKENHÄUSERN</t>
  </si>
  <si>
    <t xml:space="preserve">LEISTUNGEN DER NOTAUFNAHME OHNE ANSCHLIESSENDE  STATIONÄRE AUFNAHME  - VON ANDEREN NICHT KONVENTIONIERTEN PRIVATEN EINRICHTUNGEN </t>
  </si>
  <si>
    <t xml:space="preserve">PRESTAZIONI DI PRONTO SOCCORSO NON SEGUITE DA DA RICOVERO - DA PRIVATO PER CITTADINI NON RESIDENTI </t>
  </si>
  <si>
    <t>LEISTUNGEN DER NOTAUFNAHME OHNE ANSCHLIESSENDE  STATIONÄRE AUFNAHME  - VON PRIVATEN EINRICHTUNGEN FÜR NICHT IM LAND ANSÄSSIGE BÜRGER (AKTIVE VERRECHNETE MOBILITÄT)</t>
  </si>
  <si>
    <t>ANKAUF VON GESUNDHEITSLEISTUNGEN FÜR PROTHETISCHE, ERGÄNZENDE UND REHABILITATIONSBETREUUNG  SOWIE VON PSYCHIATRISCHEN LEISTUNGEN, LEISTUNGEN FÜR DIE DIREKTE VERTEILUNG VON MEDIKAMENTEN, THERMALLEISTUNGEN UND SOZIAL-GESUNDHEITLICHEN LEISTUNGEN VON GESUNDHEITLICHER RELEVANZ</t>
  </si>
  <si>
    <t>PROTHETISCHE BETREUUNG VON ANDEREN ÖFFENTLICHEN EINRICHTUNGEN DES LANDES ART. 26, ABSATZ 3 G. 833/78 UND M.D.  332 VOM 27. AUGUST 1999</t>
  </si>
  <si>
    <t>PROTHETISCHE BETREUUNG VON ÖFFENTLICHEN EINRICHTUNGEN AUSSERHALB DES LANDES ART. 26, ABSATZ 3 G. 833/78 UND M.D.  332 VOM 27. AUGUST 1999</t>
  </si>
  <si>
    <t>ACQUISTO ALTRE PRESTAZIONI SOCIO-SANITARIE A RILEVANZA SANITARIA DA PUBBLICO EXTRA PAB</t>
  </si>
  <si>
    <t xml:space="preserve">RÜCKERSTATTUNGEN AN PRIVATE APOTHEKEN UND HANDELSBETRIEBE FÜR HEILBEHELFE </t>
  </si>
  <si>
    <t>RÜCKERSTATTUNGEN AN ÖFFENTLICHE APOTHEKEN FÜR HEILBEHELFE GEM. LG 16/2012</t>
  </si>
  <si>
    <t>RÜCKERSTATTUNGEN AN PRIVATE APOTHEKEN UND HANDELSBETRIEBE FÜR HEILBEHELFE GEM. LG 16/2012</t>
  </si>
  <si>
    <t xml:space="preserve">RIMBORSI A FARMACIE PUBBLICHE PER GALENICI  </t>
  </si>
  <si>
    <t>ANKAUF LEISTUNGEN FÜR DIE VERTEILUNG IM AUFTRAG DES BETRIEBES VON HEILBEHELFEN FÜR DIABETIKER - ART. 3, GESETZ Nr. 115/1987 - VON ÖFFENTLICHEN EINRICHTUNGEN (ANDERE ÖFFENTLICHE EINRICHTUNGEN DES LANDES)</t>
  </si>
  <si>
    <t>ACQUISTO PRESTAZIONI PER LA DISTRIBUZIONE PER CONTO DELL'AZIENDA DEI PRESIDI SANITARI PER DIABETICI - ART. 3, LEGGE Nr. 115/1987 - DA PRIVATO</t>
  </si>
  <si>
    <t>ANKAUF LEISTUNGEN FÜR DIE VERTEILUNG IM AUFTRAG DES BETRIEBES VON HEILBEHELFEN FÜR DIABETIKER - ART. 3,  GESETZ NR. 115/1987 - VON PRIVATEN</t>
  </si>
  <si>
    <t xml:space="preserve">ACQUISTI SERVIZI SANITARI PER ASSISTENZA OSPEDALIERA E ALTRE PRESTAZIONI SANITARIE NON DI RICOVERO </t>
  </si>
  <si>
    <t>PRESTAZIONI DI RICOVERO DA AZIENDE SANITARIE EXTRA PAB (MOBILITÀ COMPENSATA)</t>
  </si>
  <si>
    <t>AUFENTHALTSBEZOGENE LEISTUNGEN VON ANDEREN ÖFFENTLICHEN EINRICHTUNGEN DES LANDES</t>
  </si>
  <si>
    <t>NICHT AUFENTHALTSBEZOGENE GESUNDHEITSLEISTUNGEN</t>
  </si>
  <si>
    <t>GESUNDHEITSLEISTUNGEN (IBMDR) VON SANITÄTSBETRIEBEN AUSSERHALB DES LANDS (VERRECHNETE MOBILITÄT)</t>
  </si>
  <si>
    <t>SONSTIGE GESUNDHEITSDIENSTE UND SOZIAL-GESUNDHEITLICHE DIENSTE VON GESUNDHEITLICHER RELEVANZ VON ÖFFENTLICHEN EINRICHTUNGEN AUSSERHALB DES LANDES</t>
  </si>
  <si>
    <t>FORNITURA DI PERSONALE DA  PUBBLICO EXTRA PAB</t>
  </si>
  <si>
    <t>ZURVERFÜGUNGSTELLUNG VON PERSONAL VON ÖFFENTLICHEN EINRICHTUNGEN AUSSERHALB DES LANDES</t>
  </si>
  <si>
    <t>NICHT AUFENTHALTSBEZOGENE GESUNDHEITSLEISTUNGEN VON AUSLÄNDISCHEN SANITÄTSBETRIEBEN (DIREKT VERRECHNET)</t>
  </si>
  <si>
    <t>NICHT AUFENTHALTSBEZOGENE GESUNDHEITSLEISTUNGEN VON AUSLÄNDISCHEN SANITÄTSBETRIEBEN (VERRECHNETE MOBILITÄT)</t>
  </si>
  <si>
    <t>SONSTIGE GESUNDHEITLICHE DIENSTLEISTUNGEN VON PRIVATEN</t>
  </si>
  <si>
    <t>ZURVERFÜGUNGSTELLUNG VON PERSONAL VON PRIVATEN GESUNDHEITSEINRICHTUNGEN (DIREKT VERRECHNET)</t>
  </si>
  <si>
    <t>LIEFERUNG VON MEDIZINISCHEN GÜTERN</t>
  </si>
  <si>
    <t xml:space="preserve">BEITRÄGE FÜR EHRENAMTLICHE VEREINE </t>
  </si>
  <si>
    <t>BEITRÄGE FÜR NICHT EHRENAMTLICHE VEREINE UND SONSTIGE KÖRPERSCHAFTEN</t>
  </si>
  <si>
    <t>MIETEN - GESUNDHEITLICHER BEREICH</t>
  </si>
  <si>
    <t>MIETEN - NICHT GESUNDHEITLICHER BEREICH</t>
  </si>
  <si>
    <t>VERGÜTUNGEN FÜR RECHNUNGSPRÜFERKOLLEGIUM</t>
  </si>
  <si>
    <t>ENTSCHÄDIGUNG - RECHNUNGSPRÜFERKOLLEGIUM</t>
  </si>
  <si>
    <t>RÜCKERSTATTUNG VON AUSGABEN - RECHNUNGSPRÜFERKOLLEGIUM</t>
  </si>
  <si>
    <t>SOZIALABGABEN - RECHNUNGSPRÜFERKOLLEGIUM</t>
  </si>
  <si>
    <t>ZUWEISUNGEN AN RÜCKSTELLUNGEN FÜR SONSTIGE ZU LIQUIDIERENDE AUFWENDUNGEN - RECHNUNGSPRÜFERKOLLEGIUM</t>
  </si>
  <si>
    <t>ANDERE VERSCHIEDENE VERWALTUNGSAUFWENDUNGEN - SELBSTVERSICHERUNG</t>
  </si>
  <si>
    <t>BETEILIGUNGEN AN DAS GESUNDHEITSPERSONAL FÜR FREIBERUFLICHE LEISTUNGEN</t>
  </si>
  <si>
    <t xml:space="preserve">EXTERNES MEDIZINISCHES ÄRZTLICHES PERSONAL - BEFRISTET  </t>
  </si>
  <si>
    <t>SONSTIGES EXTERNES NICHT-LEITENDES GESUNDHEITLICHES PERSONAL - BEFRISTET</t>
  </si>
  <si>
    <t>EXTERNES MEDIZINISCHES PERSONAL - ZAHNÄRZTLICHE LEISTUNGEN LG 16/88 ART. 3</t>
  </si>
  <si>
    <t>KOORDINIERTE UND KONTINUIERLICHE ZUSAMMENARBEIT IM MEDIZINISCHEN BEREICH</t>
  </si>
  <si>
    <t>KOORDINIERTE UND KONTINUIERLICHE  ZUSAMMENARBEIT IM MEDIZINISCHEN BEREICH- SOZIALABGABEN</t>
  </si>
  <si>
    <t>NICHT-MEDIZIONISCHE KOORDINIERTE UND KONTINUIERLICHE ZUSAMMENARBEIT</t>
  </si>
  <si>
    <t>NICHT-MEDIZIONISCHE KOORDINIERTE UND KONTINUIERLICHE ZUSAMMENARBEIT - SOZIALABGABEN</t>
  </si>
  <si>
    <t>VERGÜTUNGEN FÜR BEI  SANITÄTSBETRIEBEN AUSSERHALB DES LANDES TÄTIGES GESUNDHEITSPERSONAL</t>
  </si>
  <si>
    <t>VERGÜTUNGEN FÜR BEI ANDEREN KÖRPERSCHAFTEN TÄTIGES GESUNDHEITSPERSONAL</t>
  </si>
  <si>
    <t>VERGÜTUNGEN FÜR BEI SANITÄTSBETRIEBEN AUSSERHALB DES LANDES TÄTIGES NICHT-MEDIZINISCHES PERSONAL</t>
  </si>
  <si>
    <t>VERGÜTUNGEN FÜR BEI ANDEREN KÖRPERSCHAFTEN TÄTIGES NICHT-MEDIZINISCHES PERSONAL</t>
  </si>
  <si>
    <t>ZUWEISUNG AN DEN ABWERTUNGSFONDS DES LAGERS</t>
  </si>
  <si>
    <t xml:space="preserve">ZUWEISUNG AN DEN ABWERTUNGSFONDS DER RESTBESTÄNDE -PHARMAZEUTISCHE PRODUKTE UND BLUTPRODUKTE </t>
  </si>
  <si>
    <t>ZUWEISUNG AN DEN ABWERTUNGSFONDS DER RESTBESTÄNDE -BLUT UND BLUTBESTANDTEILE</t>
  </si>
  <si>
    <t>ZUWEISUNG AN DEN ABWERTUNGSFONDS DER RESTBESTÄNDE - TIERÄRZTLICHES MATERIAL UND  PRODUKTE</t>
  </si>
  <si>
    <t>ZUWEISUNG AN DEN ABWERTUNGSFONDS DER RESTBESTÄNDE - ANDERE GESUNDHEITSGÜTER UND -PRODUKTE</t>
  </si>
  <si>
    <t>VERÄNDERUNGEN DER NICHTMEDIZINISCHEN RESTBESTÄNDE - LEBENSMITTEL</t>
  </si>
  <si>
    <t>VERÄNDERUNGEN DER NICHTMEDIZINISCHEN RESTBESTÄNDE - TEXTILIEN, BEKLEIDUNG UND MATERIAL FÜR REINIGUNG UND HAUSHALT</t>
  </si>
  <si>
    <t>VERÄNDERUNGEN DER NICHTMEDIZINISCHEN RESTBESTÄNDE - BRENN-,TREIB- UND SCHMIERSTOFFE</t>
  </si>
  <si>
    <t>VERÄNDERUNGEN DER NICHTMEDIZINISCHEN RESTBESTÄNDE - SCHREIBWAREN, DRUCKWARE UND VERBRAUCHSMATERIAL FÜR INFORMATIK</t>
  </si>
  <si>
    <t>VERÄNDERUNGEN DER NICHTMEDIZINISCHEN RESTBESTÄNDE - MATERIAL FÜR INSTANDHALTUNG</t>
  </si>
  <si>
    <t>VERÄNDERUNGEN DER NICHTMEDIZINISCHEN RESTBESTÄNDE - ANDERE NICHT MEDIZINISCHEN GÜTER</t>
  </si>
  <si>
    <t>ZUWEISUNGEN AN RÜCKSTELLUNGEN FÜR AUSZUZAHLENDE AUFWENDUNGEN FÜR KONVENTIONIERTE EINRICHTUNGEN</t>
  </si>
  <si>
    <t>ERNEUERUNG DER VERTRÄGE ÄRZTLICHES PERSONAL- SANITÄTSSTELLENPLAN</t>
  </si>
  <si>
    <t>ERNEUERUNG DER VERTRÄGE NICHTÄRZTLICHE LEITER - SANITÄTSSTELLENPLAN</t>
  </si>
  <si>
    <t>ERNEUERUNG DER VERTRÄGE NICHTLEITENDES PERSONAL - SANITÄTSSTELLENPLAN</t>
  </si>
  <si>
    <t>ZUWEISUNGEN AN RÜCKSTELLUNGEN FÜR RUHESTANDSBEHANDLUNG</t>
  </si>
  <si>
    <t xml:space="preserve">ZUWEISUNGEN FÜR ZUSATZRENTENFONDS </t>
  </si>
  <si>
    <t>ZUWEISUNGEN FÜR ZUSATZRENTENFONDS</t>
  </si>
  <si>
    <t>RÜCKSTELLUNGEN FÜR SELBSTBEHALT DER VERSICHERUNG</t>
  </si>
  <si>
    <t>ZUWEISUNGEN AN RÜCKSTELLUNGEN FÜR NICHT VERWENDETE ZWECKGEBUNDENE BEITRÄGE VON ANDEREN ÖFFENTLICHEN KÖRPERSCHAFTEN</t>
  </si>
  <si>
    <t>PASSIVZINSEN FÜR KASSENVORSCHÜSSE</t>
  </si>
  <si>
    <t>PASSIVZINSEN FÜR ANDERE FORMEN VON DARLEHEN EX ART. 3 GESETZESVERTRETENDES DEKRET 502/92</t>
  </si>
  <si>
    <t>PASSIVZINSEN FÜR ANDERE FORMEN VON DARLEHEN EX ART. 3 GESETZESVERTRETENDES DEKRET 502/93</t>
  </si>
  <si>
    <t>AKTIVSCHWUND BETREFFEND ZWECKGEBUNDENE BEITRÄGE DES LANDES</t>
  </si>
  <si>
    <t>AKTIVSCHWUND BETREFFEND DIE ANKÄUFE  VON GESUNDHEITSLEISTUNGEN VON AKKREDITIERTEN ANBIETERN</t>
  </si>
  <si>
    <t>GEMEINDEABFALLSTEUER</t>
  </si>
  <si>
    <t>VERÄNDERUNGEN DER MEDIZINISCHEN RESTBESTÄNDE</t>
  </si>
  <si>
    <t xml:space="preserve">VERÄNDERUNGEN DER RESTBESTÄNDE -PHARMAZEUTISCHE PRODUKTE UND BLUTPRODUKTE </t>
  </si>
  <si>
    <t>VERÄNDERUNGEN DER RESTBESTÄNDE - BLUT UND BLUTBESTANDTEILE</t>
  </si>
  <si>
    <t xml:space="preserve">VERÄNDERUNGEN DER RESTBESTÄNDE - TIERÄRZTLICHES MATERIAL UND  PRODUKTE </t>
  </si>
  <si>
    <t>VERÄNDERUNGEN DER RESTBESTÄNDE - ANDERE GESUNDHEITSGÜTER UND -PRODUKTE</t>
  </si>
  <si>
    <t>VERÄNDERUNGEN DER NICHT-MEDIZINISCHEN RESTBESTÄNDE</t>
  </si>
  <si>
    <t>VERÄNDERUNGEN DER NICHT-MEDIZINISCHEN RESTBESTÄNDE - LEBENSMITTEL</t>
  </si>
  <si>
    <t>VERÄNDERUNGEN DER NICHT-MEDIZINISCHEN RESTBESTÄNDE - TEXTILIEN, BEKLEIDUNG UND MATERIAL FÜR REINIGUNG UND HAUSHALT</t>
  </si>
  <si>
    <t>VERÄNDERUNGEN DER NICHT-MEDIZINISCHEN RESTBESTÄNDE - BRENN-,TREIB- UND SCHMIERSTOFFE</t>
  </si>
  <si>
    <t>VERÄNDERUNGEN DER NICHT-MEDIZINISCHEN RESTBESTÄNDE - SCHREIBWAREN, DRUCKWARE UND VERBRAUCHSMATERIAL FÜR INFORMATIK</t>
  </si>
  <si>
    <t>VERÄNDERUNGEN DER NICHT-MEDIZINISCHEN RESTBESTÄNDE - MATERIAL FÜR INSTANDHALTUNG</t>
  </si>
  <si>
    <t>VERÄNDERUNGEN DER NICHT-MEDIZINISCHEN RESTBESTÄNDE - ANDERE NICHT MEDIZINISCHE GÜTER</t>
  </si>
  <si>
    <t>BEITRÄGE DES LANDES FÜR LAUFENDE AUSGABEN AUS DEM ZUSÄTZLICHEN FONDS FÜR DIE FINANZIERUNG DER GRUNDLEGENDEN BETREUUNGSFORMEN</t>
  </si>
  <si>
    <t xml:space="preserve">VERWENDUNG RÜCKSTELLUNGEN FÜR NICHT VERWENDETE BEITRÄGE DES LANDES AUS LGF VERGANGENER GESCHÄFTSJAHRE ZIELGERICHTETER UNGEBUNDENE ZUWEISUNG) </t>
  </si>
  <si>
    <t xml:space="preserve">UTILIZZO FONDI PER QUOTE INUTILIZZATE CONTRIBUTI VINCOLATI DI ESERCIZI PRECEDENTI DA ALTRI SOGGETTI PUBBLICI </t>
  </si>
  <si>
    <t xml:space="preserve">VERWENDUNG RÜCKSTELLUNGEN FÜR NICHT VERWENDETE ZWECKGEBUNDENE BEITRÄGE VERGANGENER GESCHÄFTSJAHRE VON ANDEREN ÖFFENTLICHEN KÖRPERSCHAFTEN </t>
  </si>
  <si>
    <t>KRANKENHAUSAUFENTHALTSBEZOGENE LEISTUNGEN FÜR ANDERE ÖFFENTLICHE EINRICHTUNGEN</t>
  </si>
  <si>
    <t>KRANKENHAUSAUFENTHALTSBEZOGENE LEISTUNGEN  FÜR PRIVATE EINRICHTUNGEN</t>
  </si>
  <si>
    <t>NICHT KRANKENHAUSAUFENTHALTSBEZOGENE GESUNDHEITSLEISTUNGEN  FÜR SANITÄTSBETRIEBE AUSSERHALB DES LANDES FÜR PHARMAZEUTISCHE BETREUUNG (VERRECHNETE MOBILITÄT)</t>
  </si>
  <si>
    <t>NICHT KRANKENHAUSAUFENTHALTSBEZOGENE GESUNDHEITSLEISTUNGEN  FÜR SANITÄTSBETRIEBE AUSSERHALB DES LANDES FÜR GESUNDHEITLICHE GRUNDVERSORGUNG (VERRECHNETE MOBILITÄT)</t>
  </si>
  <si>
    <t>NICHT KRANKENHAUSAUFENTHALTSBEZOGENE GESUNDHEITSLEISTUNGEN  FÜR SANITÄTSBETRIEBE AUSSERHALB DES LANDES FÜR FACHÄRZTLICHE BETREUUNG (VERRECHNETE MOBILITÄT)</t>
  </si>
  <si>
    <t>NICHT KRANKENHAUSAUFENTHALTSBEZOGENE GESUNDHEITSLEISTUNGEN  FÜR SANITÄTSBETRIEBE AUSSERHALB DES LANDES FÜR THERMALKUREN (VERRECHNETE MOBILITÄT)</t>
  </si>
  <si>
    <t>NICHT KRANKENHAUSAUFENTHALTSBEZOGENE GESUNDHEITSLEISTUNGEN  FÜR SANITÄTSBETRIEBE AUSSERHALB DES LANDES FÜR DIREKTE VERABREICHUNG VON MEDIKAMENTEN (VERRECHNETE MOBILITÄT)</t>
  </si>
  <si>
    <t>NICHT KRANKENHAUSAUFENTHALTSBEZOGENE GESUNDHEITSLEISTUNGEN  FÜR SANITÄTSBETRIEBE AUSSERHALB DES LANDES FÜR KRANKENWAGEN- ODER HUBSCHRAUBERTRANSPORTE (VERRECHNETE MOBILITÄT)</t>
  </si>
  <si>
    <t>NICHT KRANKENHAUSAUFENTHALTSBEZOGENE GESUNDHEITSLEISTUNGEN  FÜR SANITÄTSBETRIEBE AUSSERHALB DES LANDES FÜR VERABREICHUNG VON BLUTBESTANDTEILEN UND STAMMZELLEN (VERRECHNETE MOBILITÄT)</t>
  </si>
  <si>
    <t>SONSTIGE GESUNDHEITSLEISTUNGEN UND SOZIAL-GESUNDHEITLICHE LEISTUNGEN VON GESUNDHEITLICHER RELEVANZ FÜR ANDERE ÖFFENTLICHE EINRICHTUNGEN</t>
  </si>
  <si>
    <t>GESUNDHEITSLEISTUNGEN FÜR ERGÄNZENDE BETREUUNG FÜR ÖFFENTLICHE SANITÄTSBETRIEBE AUSSERHALB DES LANDES</t>
  </si>
  <si>
    <t>GESUNDHEITSLEISTUNGEN FÜR PROTHESISCHE BETREUUNG FÜR ÖFFENTLICHE SANITÄTSBETRIEBE AUSSERHALB DES LANDES</t>
  </si>
  <si>
    <t>LEISTUNGEN IN DER NOTAUFNAHME OHNE ANSCHLIESSENDE  STATIONÄRE AUFNAHME - FÜR SANITÄTSBETRIEBE AUSSERHALB DES LANDES</t>
  </si>
  <si>
    <t>GESUNDHEITSLEISTUNGEN VON PRIVATEN FÜR ANSÄSSIGE ANDERER REGIONEN (AKTIVE VERRECHNETE MOBILITÄT)</t>
  </si>
  <si>
    <t>KRANKENHAUSAUFENTHALTSBEZOGENE LEISTUNGEN VON PRIVATEN FÜR ANSÄSSIGE ANDERER REGIONEN (AKTIVE VERRECHNETE MOBILITÄT)</t>
  </si>
  <si>
    <t>NICHT KRANKENHAUSAUFENTHALTSBEZOGENE, FACHÄRZTLICHE LEISTUNGEN VON PRIVATEN FÜR ANSÄSSIGE ANDERER REGIONEN (AKTIVE VERRECHNETE MOBILITÄT)</t>
  </si>
  <si>
    <t>LEISTUNGEN IN DER NOTAUFNAHME OHNE ANSCHLIESSENDE  STATIONÄRE AUFNAHME  - VON PRIVATEN FÜR NICHT IM LAND ANSÄSSIGE BÜRGER (AKTIVE VERRECHNETE MOBILITÄT)</t>
  </si>
  <si>
    <t>GESUNDHEITSBERATUNGEN  FÜR SANITÄTSBETRIEBE AUSSERHALB DES LANDES</t>
  </si>
  <si>
    <t>NICHT-MEDIZINISCHE BERATUNGEN FÜR SANITÄTSBETRIEBE AUSSERHALB DES LANDES</t>
  </si>
  <si>
    <t>GESUNDHEITSBERATUNGEN FÜR ANDERE SUBJEKTE</t>
  </si>
  <si>
    <t>NICHT-MEDIZINISCHE BERATUNGEN FÜR ANDERE</t>
  </si>
  <si>
    <t>KRANKENHAUSAUFENTHALTSBEZOGENE LEISTUNGEN FÜR AKUTPFLEGE FÜR PRIVATE</t>
  </si>
  <si>
    <t>KRANKENHAUSAUFENTHALTSBEZOGENE LEISTUNGEN FÜR POSTAKUTE BEHANDLUNG FÜR PRIVATE</t>
  </si>
  <si>
    <t>TICKET - AMBULANTE FACHÄRZTLICHE BETREUUNG</t>
  </si>
  <si>
    <t>TICKET - NOTAUFNAHME</t>
  </si>
  <si>
    <t>RÜCKERSTATTUNGEN AUS REGRESSFÄLLEN FÜR GESUNDHEITSLEISTUNGEN</t>
  </si>
  <si>
    <t>ANDERE RÜCKVERGÜTUNGEN FÜR PHARMAZEUTISCHE BETREUUNG VON ÖFFENTLICHEN KÖRPERSCHAFTEN</t>
  </si>
  <si>
    <t>ERLÖSE AUS LIEFERUNGEN VON GÜTERN FÜR SANITÄTSBETRIEBE AUSSERHALB DES LANDES</t>
  </si>
  <si>
    <t>VERGÜTUNGEN FÜR  RECHTE AUF GESUNHEITSVERSORGUNG</t>
  </si>
  <si>
    <t>SCHENKUNGEN UND LEGATE</t>
  </si>
  <si>
    <t>RICAVI</t>
  </si>
  <si>
    <t>ERLÖSE</t>
  </si>
  <si>
    <t>PHARMAZEUTISCHE PRODUKTE MIT AIC, AUSGENOMMEN IMPFSTOFFE UND BLUTPRODUKTE AUS REGIONALER PRODUKTION</t>
  </si>
  <si>
    <t>SAUERSTOFF UND ANDERE MEDIZINISCHE GASE MIT AIC</t>
  </si>
  <si>
    <t>EMODERIVATI DI PRODUZIONE REGIONALE DA AZIENDE SANITARIE PUBBLICHE EXTRA PAB (MOBILITÀ COMPENSATA)</t>
  </si>
  <si>
    <t>HEILBEHELFE FÜR DIABETIKER - ART. 3, GESETZ NR. 115/1987 - IM AUFTRAG DES BETRIEBES VERTEILT</t>
  </si>
  <si>
    <t>ALTRI SERVIZI DI TRASPORTO SANITARI DA ALTRI SOGGETTI PUBBLICI DELLA PAB</t>
  </si>
  <si>
    <t>CONSULENZE SANITARIE DA AZIENDE SANITARIE EXTRA PAB</t>
  </si>
  <si>
    <t>ACQUISTI DI SERVIZI PER ASSISTENZA FARMACEUTICA DA AZIENDE SANITARIE EXTRA PAB (MOBILITÀ COMPENSATA)</t>
  </si>
  <si>
    <t>ACQUISTI DI SERVIZI PER ASSISTENZA FARMACEUTICA DA AZIENDE SANITARIE ESTERE (MOBILITÀ COMPENSATA)</t>
  </si>
  <si>
    <t>ASSISTENZA SPECIALISTICA ESTERNA DA AZIENDE SANITARIE EXTRA PAB FATTURATA DIRETTAMENTE</t>
  </si>
  <si>
    <t>ASSISTENZA SPECIALISTICA ESTERNA DA AZIENDE SANITARIE EXTRA PAB (MOBILITÀ COMPENSATA)</t>
  </si>
  <si>
    <t>ASSISTENZA SPECIALISTICA ESTERNA DA AZIENDE SANITARIE ESTERE (MOBILITÀ COMPENSATA)</t>
  </si>
  <si>
    <t xml:space="preserve">EXTERNE FACHÄRZTLICHE BETREUUNG - LEISTUNGEN DER NOTAUFNAHME OHNE ANSCHLIESSENDE STATIONÄRE AUFNAHME  </t>
  </si>
  <si>
    <t>PRESTAZIONI DI PRONTO SOCCORSO NON SEGUITE DA RICOVERO DA AZIENDE SANITARIE EXTRA PAB (MOBILITÀ COMPENSATA)</t>
  </si>
  <si>
    <t>ASSISTENZA RIABILITATIVA RESIDENZIALE E SEMIRESIDENZIALE IN ISTITUTI COME SCHEMA TIPO ART. 26 L. 833/78 DA PRIVATO EXTRA PAB</t>
  </si>
  <si>
    <t>STATIONÄR UND TEILSTATIONÄR ERBRACHTE PSYCHIATRISCHE LEISTUNGEN AN GEISTIG BEHINDERTE VON ÖFFENTLICHEN EINRICHTUNGEN DES LANDES</t>
  </si>
  <si>
    <t>STATIONÄR UND TEILSTATIONÄR ERBRACHTE PSYCHIATRISCHE LEISTUNGEN AN GEISTIG BEHINDERTE VON ÖFFENTLICHEN EINRICHTUNGEN AUSSERHALB DES LANDES</t>
  </si>
  <si>
    <t>STATIONÄR UND TEILSTATIONÄR ERBRACHTE PSYCHIATRISCHE LEISTUNGEN AN GEISTIG BEHINDERTE VON PRIVATEN EINRICHTUNGEN DES LANDES</t>
  </si>
  <si>
    <t>STATIONÄR UND TEILSTATIONÄR ERBRACHTE PSYCHIATRISCHE LEISTUNGEN AN GEISTIG BEHINDERTE VON PRIVATEN EINRICHTUNGEN AUSSERHALB DES LANDES</t>
  </si>
  <si>
    <t>ASSISTENZA TERRITORIALE RESIDENZIALE PER ANZIANI NON AUTOSUFFICIENTI - COSTI DEL PERSONALE DA ISTITUTI PUBBLICI DELLA PAB</t>
  </si>
  <si>
    <t>PRESTAZIONI DI ASSISTENZA AMBULATORIALE E DOMICILIARE PER CURE PALLIATIVE EROGATA DA ISTITUTI PUBBLICI DELLA PAB</t>
  </si>
  <si>
    <t>STATIONÄRE UND TEILSTATIONÄRE REHABILITATIONSLEISTUNGEN FÜR PALLIATIVBETREUUNG IN PRIVATEN EINRICHTUNGEN DES LANDES</t>
  </si>
  <si>
    <t>ANKAUF VON ANDEREN SOZIAL- UND GESUNDHEITSLEISTUNGEN  VON GESUNDHEITLICHER RELEVANZ BEI ÖFFENTLICHEN EINRICHTUNGEN (AUSSERHALB DES LANDES)</t>
  </si>
  <si>
    <t>RIMBORSI A FARMACIE PUBBLICHE PER PRESIDI SANITARI</t>
  </si>
  <si>
    <t>RÜCKERSTATTUNGEN AN ÖFFENTLICHE APOTHEKEN FÜR HEILBEHELFE</t>
  </si>
  <si>
    <t>RÜCKERSTATTUNGEN AN ÖFFENTLICHE APOTHEKEN FÜR VERSORGUNG SENIORENWOHNHEIME MIT HEILBEHELFEN</t>
  </si>
  <si>
    <t>RÜCKERSTATTUNGEN AN PRIVATE APOTHEKEN FÜR VERSORGUNG SENIORENWOHNHEIME MIT HEILBEHELFEN</t>
  </si>
  <si>
    <t>ASSISTENZA TERMALE DA AZIENDE SANITARIE EXTRA PAB (MOBILITÀ COMPENSATA)</t>
  </si>
  <si>
    <t>ACQUISTO PRESTAZIONI PER LA DISTRIBUZIONE PER CONTO DELL'AZIENDA DEI PRESIDI SANITARI PER DIABETICI - ART. 3, LEGGE Nr. 115/1987 - DA PUBBLICO (ALTRI SOGGETTI PUBBLICI DELLA PAB)</t>
  </si>
  <si>
    <t>PRESTAZIONI DI RICOVERO DA AZIENDE SANITARIE EXTRA PAB  (FATTURATE DIRETTAMENTE)</t>
  </si>
  <si>
    <t>PRESTAZIONI DI RICOVERO DA AZIENDE SANITARIE ESTERE (MOBILITÀ COMPENSATA)</t>
  </si>
  <si>
    <t>STATIONÄRE KRANKENHAUSBETREUUNG VON KONVENTIONIERTEN PRIVATKLINIKEN - POST-AKUTPFLEGE</t>
  </si>
  <si>
    <t>AUFENTHALTSBEZOGENE LEISTUNGEN VON PRIVATEN IRCCS UND POLIKLINIKEN</t>
  </si>
  <si>
    <t>ALTRI SERVIZI SANITARI E SOCIO-SANITARI A RILEVANZA SANITARIA DA AZIENDE SANITARIE EXTRA PAB (FATTURATE DIRETTAMENTE)</t>
  </si>
  <si>
    <t>PRESTAZIONI SANITARIE IBMDR DA AZIENDE SANITARIE EXTRA PAB (MOBILITÀ COMPENSATA)</t>
  </si>
  <si>
    <t>ALTRI SERVIZI SANITARI E SOCIO-SANITARI A RILEVANZA SANITARIA DA PUBBLICO EXTRA PAB</t>
  </si>
  <si>
    <t>PRESTAZIONI SANITARIE NON DI RICOVERO DA AZIENDE SANITARIE ESTERE (MOBILITÀ COMPENSATA)</t>
  </si>
  <si>
    <t>CONTRIBUTI AD ASSOCIAZIONI DI VOLONTARIATO</t>
  </si>
  <si>
    <t xml:space="preserve">CONTRIBUTI AD ASSOCIAZIONI NON DI VOLONTARIATO E AD ALTRI ENTI </t>
  </si>
  <si>
    <t>FESTE BEZÜGE - NICHT LEITENDES PERSONAL DES SANITÄTSSTELLENPLANS - UNBEFRISTET</t>
  </si>
  <si>
    <t>FESTE BEZÜGE - NICHT LEITENDES PERSONAL DES SANITÄTSSTELLENPLANS - BEFRISTET</t>
  </si>
  <si>
    <t>ANGEREIFTER UND NICHT GENOSSENER URLAUB - NICHT LEITENDES PERSONAL DES SANITÄTSSTELLENPLANS - UNBEFRISTET</t>
  </si>
  <si>
    <t>ANGEREIFTER UND NICHT GENOSSENER URLAUB - NICHT LEITENDES PERSONAL DES SANITÄTSSTELLENPLANS - BEFRISTET</t>
  </si>
  <si>
    <t>COMPETENZE ACCESSORIE - PERSONALE COMPARTO RUOLO SANITARIO - TEMPO DETERMINATO</t>
  </si>
  <si>
    <t>ZUSÄTZLICHE BEZÜGE - NICHT LEITENDES PERSONAL DES SANITÄTSSTELLENPLANS - BEFRISTET</t>
  </si>
  <si>
    <t>PRODUKTIVITÄTSSTEIGERUNGSPRÄMIEN - LEITENDES ÄRZTLICHES PERSONAL DES SANITÄTSSTELLENPLANS - UNBEFRISTET</t>
  </si>
  <si>
    <t>PRODUKTIVITÄTSSTEIGERUNGSPRÄMIEN - LEITENDES ÄRZTLICHES PERSONAL DES SANITÄTSSTELLENPLANS - BEFRISTET</t>
  </si>
  <si>
    <t>PRODUKTIVITÄTSSTEIGERUNGSPRÄMIEN - NICHT LEITENDES PERSONAL DES SANITÄTSSTELLENPLANS - UNBEFRISTET</t>
  </si>
  <si>
    <t>PRODUKTIVITÄTSSTEIGERUNGSPRÄMIEN - NICHT LEITENDES PERSONAL DES SANITÄTSSTELLENPLANS - BEFRISTET</t>
  </si>
  <si>
    <t>BETEILIGUNGEN AN DEN PFLEGESATZAUFSCHLÄGEN - LEITENDES ÄRZTLICHES PERSONAL DES SANITÄTSSTELLENPLANS - UNBEFRISTET</t>
  </si>
  <si>
    <t>BETEILIGUNGEN AN DEN PFLEGESATZAUFSCHLÄGEN - LEITENDES ÄRZTLICHES PERSONAL DES SANITÄTSSTELLENPLANS - BEFRISTET</t>
  </si>
  <si>
    <t>SOZIALABGABEN - LEITENDES NICHT ÄRZTLICHES PERSONAL DES SANITÄTSSTELLENPLANS - UNBEFRISTET</t>
  </si>
  <si>
    <t>SOZIALABGABEN - LEITENDES NICHT ÄRZTLICHES PERSONAL DES SANITÄTSSTELLENPLANS - BEFRISTET</t>
  </si>
  <si>
    <t>SOZIALABGABEN - NICHT LEITENDES PERSONAL DES SANITÄTSSTELLENPLANS - UNBEFRISTET</t>
  </si>
  <si>
    <t>SOZIALABGABEN - NICHT LEITENDES PERSONAL DES SANITÄTSSTELLENPLANS - BEFRISTET</t>
  </si>
  <si>
    <t>SOZIALABGABEN ANGEREIFTER UND NICHT GENOSSENER URLAUB - NICHT LEITENDES PERSONAL DES SANITÄTSSTELLENPLANS - UNBEFRISTET</t>
  </si>
  <si>
    <t>SOZIALABGABEN ANGEREIFTER UND NICHT GENOSSENER URLAUB - NICHT LEITENDES PERSONAL DES SANITÄTSSTELLENPLANS - BEFRISTET</t>
  </si>
  <si>
    <t>ZU LIQUIDIERENDE PRODUKTIVITÄTSSTEIGERUNGSPRÄMIEN - LEITENDES ÄRZTLICHES PERSONAL DES SANITÄTSSTELLENPLANS - UNBEFRISTET</t>
  </si>
  <si>
    <t>ZU LIQUIDIERENDE PRODUKTIVITÄTSSTEIGERUNGSPRÄMIEN - LEITENDES ÄRZTLICHES PERSONAL DES SANITÄTSSTELLENPLANS - BEFRISTET</t>
  </si>
  <si>
    <t>ZU LIQUIDIERENDE PRODUKTIVITÄTSSTEIGERUNGSPRÄMIEN - LEITENDES NICHT ÄRZTLICHES PERSONAL DES SANITÄTSSTELLENPLANS - UNBEFRISTET</t>
  </si>
  <si>
    <t>ZU LIQUIDIERENDE PRODUKTIVITÄTSSTEIGERUNGSPRÄMIEN - LEITENDES NICHT ÄRZTLICHES PERSONAL DES SANITÄTSSTELLENPLANS - BEFRISTET</t>
  </si>
  <si>
    <t>INCENTIVI DA LIQUIDARE - PERSONALE COMPARTO RUOLO SANITARIO - TEMPO INDETERMINATO</t>
  </si>
  <si>
    <t>ZU LIQUIDIERENDE PRODUKTIVITÄTSSTEIGERUNGSPRÄMIEN - NICHT LEITENDES PERSONAL DES SANITÄTSSTELLENPLANS - UNBEFRISTET</t>
  </si>
  <si>
    <t>ZU LIQUIDIERENDE PRODUKTIVITÄTSSTEIGERUNGSPRÄMIEN - NICHT LEITENDES PERSONAL DES SANITÄTSSTELLENPLANS - BEFRISTET</t>
  </si>
  <si>
    <t>ZU LIQUIDIERENDE ZUSÄTZLICHE BEZÜGE - LEITENDES ÄRZTLICHES PERSONAL DES SANITÄTSSTELLENPLANS - UNBEFRISTET</t>
  </si>
  <si>
    <t>COMPETENZE ACCESSORIE DA LIQUIDARE - PERSONALE DIRIGENTE MEDICO RUOLO SANITARIO - TEMPO DETERMINATO</t>
  </si>
  <si>
    <t>ZU LIQUIDIERENDE ZUSÄTZLICHE BEZÜGE - LEITENDES ÄRZTLICHES PERSONAL DES SANITÄTSSTELLENPLANS - BEFRISTET</t>
  </si>
  <si>
    <t>ZU LIQUIDIERENDE ZUSÄTZLICHE BEZÜGE - LEITENDES NICHT ÄRZTLICHES PERSONAL DES SANITÄTSSTELLENPLANS - UNBEFRISTET</t>
  </si>
  <si>
    <t>ZU LIQUIDIERENDE ZUSÄTZLICHE BEZÜGE - LEITENDES NICHT ÄRZTLICHES PERSONAL DES SANITÄTSSTELLENPLANS - BEFRISTET</t>
  </si>
  <si>
    <t>ZU LIQUIDIERENDE ZUSÄTZLICHE BEZÜGE - NICHT LEITENDES PERSONAL DES SANITÄTSSTELLENPLANS - UNBEFRISTET</t>
  </si>
  <si>
    <t>ZU LIQUIDIERENDE ZUSÄTZLICHE BEZÜGE - NICHT LEITENDES PERSONAL DES SANITÄTSSTELLENPLANS - BEFRISTET</t>
  </si>
  <si>
    <t>ZU LIQUIDIERENDE SOZIALABGABEN - NICHT LEITENDES PERSONAL DES SANITÄTSSTELLENPLANS - UNBEFRISTET</t>
  </si>
  <si>
    <t>ANDERE ZU LIQUIDIERENDE PERSONALAUSGABEN - LEITENDES NICHT ÄRZTLICHES PERSONAL DES SANITÄTSSTELLENPLANS - UNBEFRISTET</t>
  </si>
  <si>
    <t>ZUWEISUNG AN RÜCKSTELLUNGEN FÜR ABFERTIGUNG - NICHT LEITENDES PERSONAL DES SANITÄTSSTELLENPLANS - UNBEFRISTET</t>
  </si>
  <si>
    <t>ZUWEISUNG AN RÜCKSTELLUNGEN FÜR ABFERTIGUNG - NICHT LEITENDES PERSONAL DES SANITÄTSSTELLENPLANS - BEFRISTET</t>
  </si>
  <si>
    <t>FESTE BEZÜGE - NICHT LEITENDES PERSONAL DES FACHSTELLENPLANS - BEFRISTET</t>
  </si>
  <si>
    <t>PRODUKTIVITÄTSSTEIGERUNGSPRÄMIEN - NICHT LEITENDES PERSONAL DES FACHSTELLENPLANS - UNBEFRISTET</t>
  </si>
  <si>
    <t>PRODUKTIVITÄTSSTEIGERUNGSPRÄMIEN - NICHT LEITENDES PERSONAL DES FACHSTELLENPLANS - BEFRISTET</t>
  </si>
  <si>
    <t>SOZIALABGABEN - NICHT LEITENDES PERSONAL DES FACHSTELLENPLANS - UNBEFRISTET</t>
  </si>
  <si>
    <t>SOZIALABGABEN - NICHT LEITENDES PERSONAL DES FACHSTELLENPLANS - BEFRISTET</t>
  </si>
  <si>
    <t>SOZIALABGABEN ANGEREIFTER UND NICHT GENOSSENER URLAUB - NICHT LEITENDES PERSONAL DES FACHSTELLENPLANS - UNBEFRISTET</t>
  </si>
  <si>
    <t>SOZIALABGABEN ANGEREIFTER UND NICHT GENOSSENER URLAUB - NICHT LEITENDES PERSONAL DES FACHSTELLENPLANS - BEFRISTET</t>
  </si>
  <si>
    <t>ZU LIQUIDIERENDE PRODUKTIVITÄTSSTEIGERUNGSPRÄMIEN - LEITENDES PERSONAL DES FACHSTELLENPLANS - UNBEFRISTET</t>
  </si>
  <si>
    <t>ZU LIQUIDIERENDE PRODUKTIVITÄTSSTEIGERUNGSPRÄMIEN - LEITENDES PERSONAL DES FACHSTELLENPLANS - BEFRISTET</t>
  </si>
  <si>
    <t>ZU LIQUIDIERENDE PRODUKTIVITÄTSSTEIGERUNGSPRÄMIEN - NICHT LEITENDES PERSONAL DES FACHSTELLENPLANS - UNBEFRISTET</t>
  </si>
  <si>
    <t>ZU LIQUIDIERENDE PRODUKTIVITÄTSSTEIGERUNGSPRÄMIEN - NICHT LEITENDES PERSONAL DES FACHSTELLENPLANS - BEFRISTET</t>
  </si>
  <si>
    <t>ZU LIQUIDIERENDE ZUSÄTZLICHE BEZÜGE - LEITENDES PERSONAL DES FACHSTELLENPLANS - UNBEFRISTET</t>
  </si>
  <si>
    <t>ZU LIQUIDIERENDE ZUSÄTZLICHE BEZÜGE - LEITENDES PERSONAL DES FACHSTELLENPLANS - BEFRISTET</t>
  </si>
  <si>
    <t>ZU LIQUIDIERENDE ZUSÄTZLICHE BEZÜGE - NICHT LEITENDES PERSONAL DES FACHSTELLENPLANS - UNBEFRISTET</t>
  </si>
  <si>
    <t>ZU LIQUIDIERENDE ZUSÄTZLICHE BEZÜGE - NICHT LEITENDES PERSONAL DES FACHSTELLENPLANS - BEFRISTET</t>
  </si>
  <si>
    <t>ZU LIQUIDIERENDE SOZIALABGABEN - LEITENDES PERSONAL DES FACHSTELLENPLANS - UNBEFRISTET</t>
  </si>
  <si>
    <t>ZU LIQUIDIERENDE SOZIALABGABEN - LEITENDES PERSONAL DES FACHSTELLENPLANS - BEFRISTET</t>
  </si>
  <si>
    <t>ZU LIQUIDIERENDE SOZIALABGABEN - NICHT LEITENDES PERSONAL DES FACHSTELLENPLANS - UNBEFRISTET</t>
  </si>
  <si>
    <t>ZU LIQUIDIERENDE SOZIALABGABEN - NICHT LEITENDES PERSONAL DES FACHSTELLENPLANS - BEFRISTET</t>
  </si>
  <si>
    <t>ANDERE ZU LIQUIDIERENDE PERSONALAUSGABEN - LEITENDES PERSONAL DES FACHSTELLENPLANS - BEFRISTET</t>
  </si>
  <si>
    <t>ZUWEISUNG AN RÜCKSTELLUNGEN FÜR ABFERTIGUNG - NICHT LEITENDES PERSONAL DES FACHSTELLENPLANS - UNBEFRISTET</t>
  </si>
  <si>
    <t>ZUWEISUNG AN RÜCKSTELLUNGEN FÜR ABFERTIGUNG - NICHT LEITENDES PERSONAL DES FACHSTELLENPLANS - BEFRISTET</t>
  </si>
  <si>
    <t>FESTE BEZÜGE - NICHT LEITENDES PERSONAL DES TECHNISCHEN STELLENPLANS - UNBEFRISTET</t>
  </si>
  <si>
    <t>FESTE BEZÜGE - NICHT LEITENDES PERSONAL DES TECHNISCHEN STELLENPLANS - BEFRISTET</t>
  </si>
  <si>
    <t>ANGEREIFTER UND NICHT GENOSSENER URLAUB - NICHT LEITENDES PERSONAL DES TECHNISCHEN STELLENPLANS - UNBEFRISTET</t>
  </si>
  <si>
    <t>ANGEREIFTER UND NICHT GENOSSENER URLAUB - NICHT LEITENDES PERSONAL DES TECHNISCHEN STELLENPLANS - BEFRISTET</t>
  </si>
  <si>
    <t>ZUSÄTZLICHE BEZÜGE - NICHT LEITENDES PERSONAL DES TECHNISCHEN STELLENPLANS - UNBEFRISTET</t>
  </si>
  <si>
    <t>ZUSÄTZLICHE BEZÜGE - NICHT LEITENDES PERSONAL DES TECHNISCHEN STELLENPLANS - BEFRISTET</t>
  </si>
  <si>
    <t>PRODUKTIVITÄTSSTEIGERUNGSPRÄMIEN - NICHT LEITENDES PERSONAL DES TECHNISCHEN STELLENPLANS - UNBEFRISTET</t>
  </si>
  <si>
    <t>PRODUKTIVITÄTSSTEIGERUNGSPRÄMIEN - NICHT LEITENDES PERSONAL DES TECHNISCHEN STELLENPLANS - BEFRISTET</t>
  </si>
  <si>
    <t>SOZIALABGABEN - NICHT LEITENDES PERSONAL DES TECHNISCHEN STELLENPLANS - UNBEFRISTET</t>
  </si>
  <si>
    <t>SOZIALABGABEN - NICHT LEITENDES PERSONAL DES TECHNISCHEN STELLENPLANS - BEFRISTET</t>
  </si>
  <si>
    <t>SOZIALABGABEN ANGEREIFTER UND NICHT GENOSSENER URLAUB - NICHT LEITENDES PERSONAL DES TECHNISCHEN STELLENPLANS - UNBEFRISTET</t>
  </si>
  <si>
    <t>SOZIALABGABEN ANGEREIFTER UND NICHT GENOSSENER URLAUB - NICHT LEITENDES PERSONAL DES TECHNISCHEN STELLENPLANS - BEFRISTET</t>
  </si>
  <si>
    <t>ZU LIQUIDIERENDE PRODUKTIVITÄTSSTEIGERUNGSPRÄMIEN - LEITENDES PERSONAL DES TECHNISCHEN STELLENPLANS - UNBEFRISTET</t>
  </si>
  <si>
    <t>ZU LIQUIDIERENDE PRODUKTIVITÄTSSTEIGERUNGSPRÄMIEN - LEITENDES PERSONAL DES TECHNISCHEN STELLENPLANS - BEFRISTET</t>
  </si>
  <si>
    <t>ZU LIQUIDIERENDE PRODUKTIVITÄTSSTEIGERUNGSPRÄMIEN - NICHT LEITENDES PERSONAL DES TECHNISCHEN STELLENPLANS - UNBEFRISTET</t>
  </si>
  <si>
    <t>INCENTIVI DA LIQUIDARE - PERSONALE COMPARTO RUOLO TECNICO - TEMPO DETERMINATO</t>
  </si>
  <si>
    <t>ZU LIQUIDIERENDE PRODUKTIVITÄTSSTEIGERUNGSPRÄMIEN - NICHT LEITENDES PERSONAL DES TECHNISCHEN STELLENPLANS - BEFRISTET</t>
  </si>
  <si>
    <t>COMPETENZE ACCESSORIE DA LIQUIDARE - PERSONALE DIRIGENTE RUOLO TECNICO - TEMPO INDETERMINATO</t>
  </si>
  <si>
    <t>COMPETENZE ACCESSORIE DA LIQUIDARE - PERSONALE DIRIGENTE RUOLO TECNICO - TEMPO DETERMINATO</t>
  </si>
  <si>
    <t>COMPETENZE ACCESSORIE DA LIQUIDARE - PERSONALE COMPARTO RUOLO TECNICO - TEMPO INDETERMINATO</t>
  </si>
  <si>
    <t>ZU LIQUIDIERENDE ZUSÄTZLICHE BEZÜGE - NICHT LEITENDES PERSONAL DES TECHNISCHEN STELLENPLANS - UNBEFRISTET</t>
  </si>
  <si>
    <t>COMPETENZE ACCESSORIE DA LIQUIDARE - PERSONALE COMPARTO RUOLO TECNICO - TEMPO DETERMINATO</t>
  </si>
  <si>
    <t>ZU LIQUIDIERENDE ZUSÄTZLICHE BEZÜGE - NICHT LEITENDES PERSONAL DES TECHNISCHEN STELLENPLANS - BEFRISTET</t>
  </si>
  <si>
    <t>ONERI SOCIALI DA LIQUIDARE - PERSONALE DIRIGENTE RUOLO TECNICO - TEMPO INDETERMINATO</t>
  </si>
  <si>
    <t>ONERI SOCIALI DA LIQUIDARE - PERSONALE DIRIGENTE RUOLO TECNICO - TEMPO DETERMINATO</t>
  </si>
  <si>
    <t>ONERI SOCIALI DA LIQUIDARE - PERSONALE COMPARTO RUOLO TECNICO - TEMPO INDETERMINATO</t>
  </si>
  <si>
    <t>ZU LIQUIDIERENDE SOZIALABGABEN - NICHT LEITENDES PERSONAL DES TECHNISCHEN STELLENPLANS - UNBEFRISTET</t>
  </si>
  <si>
    <t>ZU LIQUIDIERENDE SOZIALABGABEN - NICHT LEITENDES PERSONAL DES TECHNISCHEN STELLENPLANS - BEFRISTET</t>
  </si>
  <si>
    <t>ZUWEISUNG AN RÜCKSTELLUNGEN FÜR ABFERTIGUNG - NICHT LEITENDES PERSONAL DES TECHNISCHEN STELLENPLANS - UNBEFRISTET</t>
  </si>
  <si>
    <t>ZUWEISUNG AN RÜCKSTELLUNGEN FÜR ABFERTIGUNG - NICHT LEITENDES PERSONAL DES TECHNISCHEN STELLENPLANS - BEFRISTET</t>
  </si>
  <si>
    <t>FESTE BEZÜGE - NICHT LEITENDES PERSONAL DES VERWALTUNGSSTELLENPLANS - UNBEFRISTET</t>
  </si>
  <si>
    <t>FESTE BEZÜGE - NICHT LEITENDES PERSONAL DES VERWALTUNGSSTELLENPLANS - BEFRISTET</t>
  </si>
  <si>
    <t>ANGEREIFTER UND NICHT GENOSSENER URLAUB - NICHT LEITENDES PERSONAL DES VERWALTUNGSSTELLENPLANS - UNBEFRISTET</t>
  </si>
  <si>
    <t>ANGEREIFTER UND NICHT GENOSSENER URLAUB - NICHT LEITENDES PERSONAL DES VERWALTUNGSSTELLENPLANS - BEFRISTET</t>
  </si>
  <si>
    <t>ZUSÄTZLICHE BEZÜGE - NICHT LEITENDES PERSONAL DES VERWALTUNGSSTELLENPLANS - UNBEFRISTET</t>
  </si>
  <si>
    <t>ZUSÄTZLICHE BEZÜGE - NICHT LEITENDES PERSONAL DES VERWALTUNGSSTELLENPLANS - BEFRISTET</t>
  </si>
  <si>
    <t>PRODUKTIVITÄTSSTEIGERUNGSPRÄMIEN - NICHT LEITENDES PERSONAL DES VERWALTUNGSSTELLENPLANS - UNBEFRISTET</t>
  </si>
  <si>
    <t>PRODUKTIVITÄTSSTEIGERUNGSPRÄMIEN - NICHT LEITENDES PERSONAL DES VERWALTUNGSSTELLENPLANS - BEFRISTET</t>
  </si>
  <si>
    <t>SOZIALABGABEN - NICHT LEITENDES PERSONAL DES VERWALTUNGSSTELLENPLANS - UNBEFRISTET</t>
  </si>
  <si>
    <t>SOZIALABGABEN - NICHT LEITENDES PERSONAL DES VERWALTUNGSSTELLENPLANS - BEFRISTET</t>
  </si>
  <si>
    <t>SOZIALABGABEN ANGEREIFTER UND NICHT GENOSSENER URLAUB - NICHT LEITENDES PERSONAL DES VERWALTUNGSSTELLENPLANS - UNBEFRISTET</t>
  </si>
  <si>
    <t>SOZIALABGABEN ANGEREIFTER UND NICHT GENOSSENER URLAUB - NICHT LEITENDES PERSONAL DES VERWALTUNGSSTELLENPLANS - BEFRISTET</t>
  </si>
  <si>
    <t>ZU LIQUIDIERENDE PRODUKTIVITÄTSSTEIGERUNGSPRÄMIEN - LEITENDES PERSONAL DES VERWALTUNGSSTELLENPLANS - UNBEFRISTET</t>
  </si>
  <si>
    <t>ZU LIQUIDIERENDE PRODUKTIVITÄTSSTEIGERUNGSPRÄMIEN - LEITENDES PERSONAL DES VERWALTUNGSSTELLENPLANS - BEFRISTET</t>
  </si>
  <si>
    <t>ZU LIQUIDIERENDE PRODUKTIVITÄTSSTEIGERUNGSPRÄMIEN - NICHT LEITENDES PERSONAL DES VERWALTUNGSSTELLENPLANS - UNBEFRISTET</t>
  </si>
  <si>
    <t>ZU LIQUIDIERENDE PRODUKTIVITÄTSSTEIGERUNGSPRÄMIEN - NICHT LEITENDES PERSONAL DES VERWALTUNGSSTELLENPLANS - BEFRISTET</t>
  </si>
  <si>
    <t xml:space="preserve">COMPETENZE ACCESSORIE DA LIQUIDARE - PERSONALE DIRIGENTE RUOLO AMMINISTRATIVO - TEMPO INDETERMINATO  </t>
  </si>
  <si>
    <t xml:space="preserve">COMPETENZE ACCESSORIE DA LIQUIDARE - PERSONALE DIRIGENTE RUOLO AMMINISTRATIVO - TEMPO DETERMINATO  </t>
  </si>
  <si>
    <t xml:space="preserve">COMPETENZE ACCESSORIE DA LIQUIDARE - PERSONALE COMPARTO RUOLO AMMINISTRATIVO - TEMPO INDETERMINATO  </t>
  </si>
  <si>
    <t xml:space="preserve">COMPETENZE ACCESSORIE DA LIQUIDARE - PERSONALE COMPARTO RUOLO AMMINISTRATIVO - TEMPO DETERMINATO  </t>
  </si>
  <si>
    <t>ZU LIQUIDIERENDE SOZIALABGABEN - NICHT LEITENDES PERSONAL DES VERWALTUNGSSTELLENPLANS - UNBEFRISTET</t>
  </si>
  <si>
    <t>ZU LIQUIDIERENDE SOZIALABGABEN - NICHT LEITENDES PERSONAL DES VERWALTUNGSSTELLENPLANS - BEFRISTET</t>
  </si>
  <si>
    <t>ZUWEISUNG AN RÜCKSTELLUNGEN FÜR ABFERTIGUNG - NICHT LEITENDES PERSONAL DES VERWALTUNGSSTELLENPLANS - UNBEFRISTET</t>
  </si>
  <si>
    <t>ZUWEISUNG AN RÜCKSTELLUNGEN FÜR ABFERTIGUNG - NICHT LEITENDES PERSONAL DES VERWALTUNGSSTELLENPLANS - BEFRISTET</t>
  </si>
  <si>
    <t>COMPARTECIPAZIONI AL PERSONALE  PER ATTIVITÀ LIBERO-PROFESSIONALI - AREA OSPEDALIERA</t>
  </si>
  <si>
    <t>COMPARTECIPAZIONI AL PERSONALE  PER ATTIVITÀ LIBERO-PROFESSIONALI - AREA SPECIALISTICA</t>
  </si>
  <si>
    <t>COMPARTECIPAZIONI AL PERSONALE PER ATTIVITÀ LIBERO-PROFESSIONALI - CONSULENZE (EX ART. 55 C.1 LETT. C), D) ED EX ART. 57-58)</t>
  </si>
  <si>
    <t>COMPARTECIPAZIONI AL PERSONALE  PER ATTIVITÀ LIBERO-PROFESSIONALI - ALTRO</t>
  </si>
  <si>
    <t>PRESTAZIONI AGGIUNTIVE EROGATE DA PERSONALE SANITARIO DIRIGENZA MEDICA PER ATTIVITÀ LIBERO-PROFESSIONALI - AREA SPECIALISTICA</t>
  </si>
  <si>
    <t xml:space="preserve">PERSONALE ESTERNO SANITARIO MEDICO - TEMPO DETERMINATO  </t>
  </si>
  <si>
    <t xml:space="preserve">PERSONALE ESTERNO SANITARIO DIRIGENTE NON MEDICO - TEMPO DETERMINATO  </t>
  </si>
  <si>
    <t xml:space="preserve">EXTERNES GESUNDHEITLICHES NICHT-MEDIZINISCHES PERSONAL - BEFRISTET  </t>
  </si>
  <si>
    <t>PERSONALE ESTERNO TECNICO - TEMPO DETERMINATO</t>
  </si>
  <si>
    <t>PERSONALE ESTERNO SANITARIO - ASSISTENZA ODONTOIATRICA LP 16/88 ART. 3</t>
  </si>
  <si>
    <t>INDENNITÀ ALLIEVI</t>
  </si>
  <si>
    <t>COMPENSI PER IL PERSONALE NON SANITARIO IN COMANDO DA AS EXTRA PAB</t>
  </si>
  <si>
    <t>VERGÜTUNGEN FÜR DAS LEITENDE GESUNHEITSPERSONAL DER TIERÄRZTLICHEN BETREUUNG</t>
  </si>
  <si>
    <t>ZUWEISUNGEN AN RÜCKSTELLUNGEN FÜR RISIKEN AUS ANKÄUFEN VON GESUNDHEITSLEISTUNGEN VON PRIVATEN</t>
  </si>
  <si>
    <t>ACCANTONAMENTI PER QUOTE INUTILIZZATE DEI CONTRIBUTI VINCOLATI DA ALTRI SOGGETTI PUBBLICI</t>
  </si>
  <si>
    <t>AUSSERORDENTLICHE AUFWÄNDE GEGENÜBER DRITTEN BETREFFEND ANKÄUFE VON GESUNDHEITSLEISTUNGEN VON AKKREDITIERTEN ANBIETERN</t>
  </si>
  <si>
    <t>SCONTI E ABBUONI PASSIVI</t>
  </si>
  <si>
    <t>ERZIELTE  PASSIVE UMRECHNUNGSDIFFERENZEN</t>
  </si>
  <si>
    <t>NICHTERZIELTE PASSIVE UMRECHNUNGSDIFFERENZEN</t>
  </si>
  <si>
    <t>CONTRIBUTI IN C/ESERCIZIO DA PAB EXTRA FONDO PER FINANZIAMENTO LEA</t>
  </si>
  <si>
    <t>LEISTUNGEN GEM. LG 16/2012 (GALENIKA UND MEDIZINISCHES MATERIAL)</t>
  </si>
  <si>
    <t>PRESTAZIONI DI RICOVERO AD AZIENDE SANITARIE EXTRA PAB (FATTURATE DIRETTAMENTE)</t>
  </si>
  <si>
    <t>PRESTAZIONI DI RICOVERO AD AZIENDE SANITARIE EXTRA PAB (MOBILITÀ COMPENSATA)</t>
  </si>
  <si>
    <t>PRESTAZIONI DI PSICHIATRIA RESIDENZIALE E SEMIRESIDENZIALE AD AZIENDE SANITARIE PUBBLICHE EXTRA PAB</t>
  </si>
  <si>
    <t>ALTRE PRESTAZIONI SANITARIE E SOCIO-SANITARIE A RILEVANZA SANITARIA  AD AZIENDE SANITARIE EXTRA PAB (FATTURATE DIRETTAMENTE)</t>
  </si>
  <si>
    <t>PRESTAZIONI SANITARIE NON DI RICOVERO AD AZIENDE SANITARIE EXTRA PAB PER ASSISTENZA FARMACEUTICA (MOBILITÀ COMPENSATA)</t>
  </si>
  <si>
    <t>PRESTAZIONI SANITARIE NON DI RICOVERO  AD AZIENDE SANITARIE EXTRA PAB PER ASSISTENZA SANITARIA DI BASE (MOBILITÀ COMPENSATA)</t>
  </si>
  <si>
    <t>PRESTAZIONI SANITARIE NON DI RICOVERO AD AZIENDE SANITARIE EXTRA PAB PER ASSISTENZA SPECIALISTICA AMBULATORIALE (MOBILITÀ COMPENSATA)</t>
  </si>
  <si>
    <t>PRESTAZIONI SANITARIE NON DI RICOVERO AD AZIENDE SANITARIE EXTRA PAB PER CURE TERMALI (MOBILITÀ COMPENSATA)</t>
  </si>
  <si>
    <t>PRESTAZIONI SANITARIE NON DI RICOVERO  AD AZIENDE SANITARIE EXTRA PAB PER SOMMINISTRAZIONE DIRETTA  FARMACI (MOBILITÀ COMPENSATA)</t>
  </si>
  <si>
    <t>PRESTAZIONI SANITARIE NON DI RICOVERO  AD AZIENDE SANITARIE EXTRA PAB PER TRASPORTI CON AMBULANZA ED ELISOCCORSO (MOBILITÀ COMPENSATA)</t>
  </si>
  <si>
    <t>PRESTAZIONI SANITARIE NON DI RICOVERO  AD AZIENDE SANITARIE EXTRA PAB PER CESSIONE DI EMOCOMPONENTI E CELLULE STAMINALI (MOBILITÀ COMPENSATA)</t>
  </si>
  <si>
    <t xml:space="preserve">SONSTIGE  NICHT VERRECHNETE SOZIAL- UND GESUNDHEITSLEISTUNGEN VON GESUNDHEITLICHER RELEVANZ AUSSERHALB DES LANDES </t>
  </si>
  <si>
    <t>ANDERE NICHT KRANKENHAUSAUFENTHALTSBEZOGENE LEISTUNGEN VON PRIVATEN FÜR ANSÄSSIGE ANDERER REGIONEN (AKTIVE VERRECHNETE MOBILITÄT)</t>
  </si>
  <si>
    <t>PRESTAZIONI AMMINISTRATIVE E GESTIONALI AD AZIENDE SANITARIE EXTRA PAB</t>
  </si>
  <si>
    <t>CONSULENZE SANITARIE AD AZIENDE SANITARIE EXTRA PAB</t>
  </si>
  <si>
    <t>CONSULENZE NON SANITARIE AD AZIENDE SANITARIE EXTRA PAB</t>
  </si>
  <si>
    <t>RÜCKZAHLUNG FÜR VERPFLEGUNG UND UNTERKUNFT VON ANDEREN ÖFFENTLICHEN EINRICHTUNGEN</t>
  </si>
  <si>
    <t>RICAVI PER FORNITURE DI BENI AD AZIENDE SANITARIE EXTRA PAB</t>
  </si>
  <si>
    <t>AUSSERORDENTLICHE ERTRÄGE GEGENÜBER DRITTEN BETREFFEND ANKÄUFE VON GESUNDHEITSLEISTUNGEN VON AKKREDITIERTEN ANBIETERN</t>
  </si>
  <si>
    <t>PASSIVSCHWUND BETREFFEND MOBILITÄT AUSSERHALB DES LANDES</t>
  </si>
  <si>
    <t>PASSIVSCHWUND BETREFFEND DIE ANKÄUFE  VON GESUNDHEITSLEISTUNGEN VON AKKREDITIERTEN ANBIETERN</t>
  </si>
  <si>
    <t>UTILIZZO QUOTA DI CONTRIBUTI IN C/CAPITALE DA ALTRI SOGGETTI PUBBLICI</t>
  </si>
  <si>
    <t>VERWENDUNG VON ANTEILEN DER INVESTITIONSBEITRÄGE VON ANDEREN ÖFFENTLICHEN KÖRPERSCHAFTEN</t>
  </si>
  <si>
    <t>PHARMAZEUTISCHE PRODUKTE UND BLUTPRODUKTE</t>
  </si>
  <si>
    <t xml:space="preserve">SONSTIGE VON PRIVATEN, VON VEREINEN UND ÖFFENTLICHEN EINRICHTUNGEN ERBRACHTE DIENSTLEISTUNGEN </t>
  </si>
  <si>
    <t>EINKÄUFE VON GESUNDHEITSLEISTUNGEN  FÜR PHARMAZEUTISCHE BETREUUNG</t>
  </si>
  <si>
    <t>REHABILITATIONSBETREUUNG VON ÖFFENTLICHEN EINRICHTUNGEN</t>
  </si>
  <si>
    <t>ANKAUF VON ANDEREN SOZIAL- UND GESUNDHEITSLEISTUNGEN  VON GESUNDHEITLICHER RELEVANZ</t>
  </si>
  <si>
    <t>ACQUISTO PRESTAZIONI PER DISTRIBUZIONE PER CONTO DELL'AZIENDA DI PRESIDI SANITARI</t>
  </si>
  <si>
    <t>ANKAUF VON GESUNDHEITSDIENSTEN FÜR KRANKENHAUSBETREUUNG UND SONSTIGE NICHT AUFENTHALTSBEZOGENE GESUNDHEITSLEISTUNGEN</t>
  </si>
  <si>
    <t>PASSIVE UMRECHNUNGSDIFFERENZEN</t>
  </si>
  <si>
    <t>CONTRIBUTI IN C/ESERCIZIO DA MINISTERO DELLA SALUTE e  ALTRE AMMINISTRAZIONI STATALI</t>
  </si>
  <si>
    <t xml:space="preserve">MODELL ZUR ERHEBUNG DER ERFOLGSRECHNUNG DER EINRICHTUNGEN DES NATIONALEN GESUNDHEITSDIENSTES </t>
  </si>
  <si>
    <t xml:space="preserve"> </t>
  </si>
  <si>
    <t>JAHR</t>
  </si>
  <si>
    <t xml:space="preserve">    TRIMETER</t>
  </si>
  <si>
    <t xml:space="preserve">JA </t>
  </si>
  <si>
    <t>(Einheiten Euro)</t>
  </si>
  <si>
    <t>BESCHREIBUNG</t>
  </si>
  <si>
    <t>A.1.A.) Beiträge von der Region oder Aut. Prov. für Anteil aus dem RG:</t>
  </si>
  <si>
    <t>A.1.A.1) von der Region oder Aut. Prov. für nicht-verwendungsungebundenen Anteil aus dem regionalen GF</t>
  </si>
  <si>
    <t>A.1.A.1.1) Nicht-verwendungsgebundene Finanzierung</t>
  </si>
  <si>
    <t>A.1.A.1.2) Nicht-verwendungsgebundene festgelegte Finanzierung von der Region</t>
  </si>
  <si>
    <t>A.1.A.1.3) Funktionen</t>
  </si>
  <si>
    <t>A.1.A.1.3.A) Funktionen - Notaufnahme</t>
  </si>
  <si>
    <t>A.1.A.1.3.B) Funktionen - Sonstiges</t>
  </si>
  <si>
    <t>A.1.A.1.4) Festgelegter Betrag für den Betreibsplan gemäß Art. 1, Absatz 528, Gesetz 208/2015</t>
  </si>
  <si>
    <t>A.1.A.2) von der Region oder Aut. Prov. für  zweckgebundenen Anteil aus dem regionalen GF</t>
  </si>
  <si>
    <t>A.1.B.1) von der Region oder Aut. Prov. (außerhalb Fonds)</t>
  </si>
  <si>
    <t>A.1.B.1.1) Beiträge von Region oder Aut. Prov. (außerhalb Fonds) zweckgebunden</t>
  </si>
  <si>
    <t>A.1.B.1.2) Beiträge von Region oder Aut. Prov. (außerhalb Fonds) - Zusätzliche regionale Bilanzmittel zur Deckung der WBS</t>
  </si>
  <si>
    <t>A.1.B.1.3) Beiträge von Region oder Aut. Prov. (außerhalb Fonds) - Zusätzliche regionale Bilanzmittel zur Deckung außerhalb WBS</t>
  </si>
  <si>
    <t>A.1.B.2.1) Beiträge von öffentlichen Sanitätsbetrieben der Region oder Aut. Prov. (außerhalb Fonds) zweckgebunden</t>
  </si>
  <si>
    <t xml:space="preserve">A.1.B.1) Beiträge vom Gesundheitsministerium (außerhalb Fonds) </t>
  </si>
  <si>
    <t>A.1.B.3.2) Beiträge von anderen öffentlichen Subjekten (außerhalb Fonds) zweckgebunden</t>
  </si>
  <si>
    <t>A.1.B.3.3) Beiträge von anderen öffentlichen Subjekten (außerhalb Fonds) G 210/92</t>
  </si>
  <si>
    <t>A.1.B.3.4) Beiträge von anderen öffentlichen Subjekten (außerhalb Fonds) Sonstiges</t>
  </si>
  <si>
    <t>A.1.B.3.5) Beiträge von anderen öffentlichen Subjekten (außerhalb Fonds) - in Anwendung von Artikel 79 Absatz 1-sexies Buchstabe c) des gesetzesvertretendes Dekret 112/2008, umgewandelt durch Gesetz 133/2008 und Gesetz Nr. 191 vom 23. Dezember 2009</t>
  </si>
  <si>
    <t>A.1.C)  Beiträge des Landes für laufende Ausgaben für Forschung</t>
  </si>
  <si>
    <t>A.2.A)  Berichtigung der Beiträge für laufende Ausgaben für Zuweisung an Investitionen - von Region oder Aut. Prov.  für Anteil aus dem regionalen GF</t>
  </si>
  <si>
    <t>A.2.B)  Berichtigung der Beiträge für laufende Ausgaben für Zuweisung an Investitionen - Sonstige Beiträge</t>
  </si>
  <si>
    <t>A.3) Verwendung Rückstellungen für nicht verwendete Anteile von zweckgebundenen Beiträgen der Vorjahre</t>
  </si>
  <si>
    <t>A.3.A) Verwendung Rückstellungen für nicht verwendete Anteile von zweckgebundenen Beiträgen der Vorjahre vonseiten der Region oder Aut. Prov. aus dem nicht-verwendungsgebundenen regionalen GF</t>
  </si>
  <si>
    <t>A.3.A)  Verwendung Rückstellungen für nicht verwendete Anteile von Beiträgen der Vorjahre vonseiten Region oder Aut. Prov. aus dem zweckgebundenen regionalen GF</t>
  </si>
  <si>
    <t>A.3.B) Verwendung Rückstellungen für nicht verwendete Anteile von zweckgebundenen Beiträgen der Vorjahre von öffentlichen Subjekten (außerhalb GF)</t>
  </si>
  <si>
    <t>A.3.D) Verwendung Rückstellungen für nicht verwendete Anteile von zweckgebundenen Anteilen der Vorjahre von Privaten</t>
  </si>
  <si>
    <t>A.4)  Erträge aus Gesundheits- und sozialen Leistungen mit medizinischer Relevanz</t>
  </si>
  <si>
    <t>A.4.A)  Erträge aus Gesundheits- und sozialen Leistungen mit medizinischer Relevanz</t>
  </si>
  <si>
    <t>A.4.A.1)  Erträge aus Gesundheits- und sozialen Leistungen mit medizinischer Relevanz an öffentliche Sanitätsbetriebe der Region</t>
  </si>
  <si>
    <t>A.4.A.1.3) Leistungen in der Notaufnahme ohne anschließende stationäre Aufnahme</t>
  </si>
  <si>
    <t>A.4.A.1.4) Stationäre und teilstationäre psychiatrische Leistungen</t>
  </si>
  <si>
    <t>A.4.A.1.5) Leistungen im Rahmen von File F</t>
  </si>
  <si>
    <t>A.4.A.1.6) Leistungen für Dienste Allgemeinärzte, Kinderärzte freier Wahl und Betreuungskontinuität</t>
  </si>
  <si>
    <t xml:space="preserve">A.4.A.1.7) Leistungen für vertragsgebundene pharmazeutische Dienste </t>
  </si>
  <si>
    <t>A.4.A.1.8) Thermalleistungen</t>
  </si>
  <si>
    <t>A.4.A.1.9)  Leistungen für Krankentransport und Flugrettung</t>
  </si>
  <si>
    <t>A.4.A.1.10) Leistungen der unterstützenden Teilversorgung</t>
  </si>
  <si>
    <t>A.4.A.1.11) Leistungen prothetische Betreuung</t>
  </si>
  <si>
    <t>A.4.A.1.12) Leistungen rehabilitative krankenhausexterne Betreuung</t>
  </si>
  <si>
    <t>A.4.A.1.13) Erlöse für die Abtretung von Blutbestandteilen und Stammzellen</t>
  </si>
  <si>
    <t>A.4.A.1.14) Leistungen der Integrierten Hausbetreuung (IHB)</t>
  </si>
  <si>
    <t>A.4.A.1.15) Sonstige Gesundheits- und soziale Leistungen mit gesundheitlicher Relevanz</t>
  </si>
  <si>
    <t>A.4.A.2)  Erträge aus Gesundheits- und sozialen Leistungen mit medizinischer Relevanz an andere öffentliche Subjekte</t>
  </si>
  <si>
    <t>A.4.A.3)   Erträge aus Gesundheits- und sozialen Leistungen mit medizinischer Relevanz an öffentliche Subjekte außerhalb der Region</t>
  </si>
  <si>
    <t>A.4.A.3.2) Leistungen für ambulante fachärztliche Betreuung</t>
  </si>
  <si>
    <t>A.4.A.3.3) Leistungen Notaufnahme ohne anschließende stationäre Aufnahme</t>
  </si>
  <si>
    <t>A.4.A.3.4) Stationäre und teilstationäre psychiatrische Leistungen</t>
  </si>
  <si>
    <t>A.4.A.3.5) Leistungen im Rahmen von File F</t>
  </si>
  <si>
    <t>A.4.A.3.6) Leistungen für Dienste Allgemeinärzte, Kinderärzte freier Wahl und Betreuungskontinuität</t>
  </si>
  <si>
    <t>A.4.A.3.7) Leistungen für vertragsgebundene pharmazeutische Dienste außerhalb der Region</t>
  </si>
  <si>
    <t>A.4.A.3.8) Thermalleistungen außerhalb der Region</t>
  </si>
  <si>
    <t>A.4.A.3.9) Leistungen für Krankentransport und Flugrettung außerhalb der Region</t>
  </si>
  <si>
    <t>A.4.A.3.10) Sonstige Gesundheits- und soziale Leistungen mit gesundheitlicher Relevanz außerhalb der Region</t>
  </si>
  <si>
    <t>A.4.A.3.11) Leistungen der prothetischen Betreuung bei öffentlichen Subjekten (außerhalb der Region)</t>
  </si>
  <si>
    <t>A.4.A.3.12) Erträge für Abtretung von Blutbestandteilen und Stammzellen außerhalb der Region</t>
  </si>
  <si>
    <t>A.4.A.3.13) Erträge aufgrund der Tarifunterschiede zum Einheitstarif "TUC"</t>
  </si>
  <si>
    <t>A.4.A.3.14) Sonstige an öffentliche Einrichtungen außerhalb der Region erbrachte Gesundheits- und soziale Leistungen mit gesundheitlicher Relevanz</t>
  </si>
  <si>
    <t>A.4.A.3.15) Sonstige Gesundheits- und soziale Leistungen mit gesundheitlicher Relevanz, die nicht über die überregionale Mobilität verrrechnet werden</t>
  </si>
  <si>
    <t>A.4.A.3.15.A) Leistungen für Rehabilitationsbetreuung, die nicht über die überregionale Mobilität verrechnet werden</t>
  </si>
  <si>
    <t>A.4.A.3.15.B) Sonstige Gesundheits- und soziale Leistungen mit gesundheitlicher Relevanz, die nicht über die überregionale Mobilität verrechnet werden</t>
  </si>
  <si>
    <t>A.4.A.3.16) Sonstige Gesundheitsleistungen mit gesundheitlicher Relevanz- Aktive internationale Mobilität</t>
  </si>
  <si>
    <t>A.4.A.3.17) Sonstige Gesundheitsleistungen mit gesundheitlicher Relevanz- Aktive internationale Mobilität erhoben aus AO, AOU, IRCCS.</t>
  </si>
  <si>
    <t>A.4.A.3.18) Sonstige Gesundheits- und soziale Leistungen mit gesundheitlicher Relevanz an Sanitätsbetriebe und ausländische Krankenkassen - (direkt Verrechnet)</t>
  </si>
  <si>
    <t>A.4.B)  Erlöse aus Gesundheits- und sozialen Leistungen mit medizinischer Relevanz bei Privaten für Ansässige außerhalb der Region über die Mobilität verrechnet (Aktive Mobilität)</t>
  </si>
  <si>
    <t>A.4.B.1)  Krankenhausaufenthaltsbezogene Leistungen bei Privaten für Ansässige außerhalb der Region über die Mobilität verrechnet (Aktive Mobilität)</t>
  </si>
  <si>
    <t>A.4.B.2)  Ambulante Leistungen bei Privaten für Ansässige außerhalb der Region über die Moiblität verrechnet  (mobilità attiva)</t>
  </si>
  <si>
    <t xml:space="preserve">A.4.B.3) Leistunden in der Notaufnahme ohne anschließende stationäre Aufnahme bei Privaten für Ansässige außerhalb der Region über die Mobilität verrechnet (Aktive Mobilität) </t>
  </si>
  <si>
    <t>A.4.B.4) Leistungen im Rahmen von File F von Privaten für Ansässige außerhalb der Region über die Mobilität verrechnet (Aktive Mobilität)</t>
  </si>
  <si>
    <t>A.4.B.5)  Sonstige Gesundheits- und soziale Leistungen mit gesundheitlicher Relevanz bei Privaten an Ansässige außerhalb Provinz über die Mobilität verrechnet (Aktive Mobilität)</t>
  </si>
  <si>
    <t>A.4.C)  Erträge aus Gesundheits- und sozialen Leistungen mit medizinischer Relevanz an Private</t>
  </si>
  <si>
    <t>A.4.D)  Erlöse aus Gesundheitsleistungen, durchgeführt im Rahmen der Intramoeniatätigkeit</t>
  </si>
  <si>
    <t>A.4.D.1) Erlöse aus als Intramoenia-Tätigkeit erbrachten Gesundheitsleistungen - Krankenhausbereich</t>
  </si>
  <si>
    <t>A.4.D.2) Erlöse aus als Intramoenia-Tätigkeit erbrachten Gesundheitsleistungen - Facharztbereich</t>
  </si>
  <si>
    <t>A.4.D.3) Erlöse aus als Intramoenia-Tätigkeit erbrachten Gesundheitsleistungen - Bereich öffentliches Gesundheitswesen</t>
  </si>
  <si>
    <t>A.4.D.4) Erlöse aus als Intramoenia-Tätigkeit erbrachten Gesundheitsleistungen - Beratungen (ex Art. 55 Abs.1 Buchst. c), d) und ex Art. 57-58)</t>
  </si>
  <si>
    <t>A.4.D.5) Erlöse aus als Intramoenia-Tätigkeit erbrachten Gesundheitsleistungen - Beratungen (ex Art. 55 Abs.1 Buchst. c), d) und ex Art. 57-58) (öffentliche Sanitätsbetriebe der Region)</t>
  </si>
  <si>
    <t>A.4.D.6) Erlöse aus als Intramoenia-Tätigkeit erbrachten Gesundheitsleistungen - Sonstiges</t>
  </si>
  <si>
    <t>A.4.D.7) Erträge aus als Intramoenia-Tätigkeit erbrachten Gesundheitsleistungen - Sonstiges (Öffentliche Sanitätsbetriebe der Region)</t>
  </si>
  <si>
    <t>A.5) Kostenbeiträge, Rückerlangungen und Rückerstattungen</t>
  </si>
  <si>
    <t>A.5.B) Kostenbeiträge, Rückerlangungen und Rückerstattungen von der Region</t>
  </si>
  <si>
    <t>A.5.B.1) Rückzahlung für Lohnkosten an die Region abgeordnetes Personal des Sanitätsbetriebes</t>
  </si>
  <si>
    <t>A.5.B.2) Sonstige Kostenbeiträge, Rückerlangungen und Rückerstattungen vonseiten der Region</t>
  </si>
  <si>
    <t>A.5.C) Kostenbeiträge, Rückerlangungen und Rückerstattungen vonseiten öffentlicher Sanitätsbetriebe der Region</t>
  </si>
  <si>
    <t>A.5.C.1) Rückzahlung für Lohnkosten an andere öffentliche Sanitätsbetriebe der Region abgeordnetes Personal des Sanitätsbetriebes</t>
  </si>
  <si>
    <t>A.5.C.2) Rückerstattungen für den Ankauf von Gütern durch öffentliche Sanitätsbetriebe der Region</t>
  </si>
  <si>
    <t>A.5.C.3) Sonstige Kostenbeiträge, Rückerstattungen und Rückerlangungen vonseiten öffentlicher Sanitätsbetrieb der Region</t>
  </si>
  <si>
    <t>A.5.C.4) Sonstige Kostenbeiträge, Rückerstattungen und Rückerlangungen vonseiten der Region - GSA</t>
  </si>
  <si>
    <t>A.5.D.1) Rückzahlung für Lohnkosten an andere öffentliche Subjekte abgeordnetes Personal des Sanitätsbetriebes</t>
  </si>
  <si>
    <t>A.5.D.2) Kostenbeiträge für den Ankauf von Gütern vonseiten anderer öffentlicher Subjekte</t>
  </si>
  <si>
    <t>A.5.E.1) Pay-Back Rückvergütungen von pharmazeutischen Betrieben</t>
  </si>
  <si>
    <t>A.5.E.2) Pay-back-Rückvergütungen für Medizinprodukte</t>
  </si>
  <si>
    <t>A.5.E.3) Sonstige Kostenbeiträge, Rückerstattungen und Rückerlangungen von Privaten</t>
  </si>
  <si>
    <t>A.6) Kostenbeteiligungen für Gesundheitsleistungen (Ticket)</t>
  </si>
  <si>
    <t>A.6.A)  Kostenbeteiligungen für Gesundheitsleistungen - Ticket für ambulante fachärztliche Betreuung</t>
  </si>
  <si>
    <t>A.6.B)  Beteiligungen an Kosten für Gesundheitsleistungen - Ticket Notaufnahme</t>
  </si>
  <si>
    <t>A.6.C)  Kostenbeteiligungen für Gesundheitsleistungen (Ticket) - Sonstiges</t>
  </si>
  <si>
    <t>A.9.A) Erlöse für nicht-medizische Leistungen</t>
  </si>
  <si>
    <t>B.1.A)  Ankauf von Gesundheitsgütern</t>
  </si>
  <si>
    <t>B.1.A.1.3) Sauerstoff und andere medizinische Gase</t>
  </si>
  <si>
    <t>B.1.A.1.4.1) Blutprodukte aus regionaler öffentlicher Herstellung (öffentliche Sanitätsbetriebe der Region) -Mobilität innerhalb der Region</t>
  </si>
  <si>
    <t>B.1.A.1.4.2) Blutprodukte aus regionaler öffentlicher Herstellung (öffentliche Sanitätsbetriebe der Region) - Mobilitätaußerhalb der Region</t>
  </si>
  <si>
    <t>B.1.A.1.4.3) Blutprodukte aus regionaler Herstellung von anderen Einrichtungen</t>
  </si>
  <si>
    <t>B.1.A.7) Tierärztliches Material und Produkte</t>
  </si>
  <si>
    <t>B.1.A.8) Sonstige Gesundheitsgüter und Produkte:</t>
  </si>
  <si>
    <t>B.1.A.9)  Gesundheitsgüter und Produkte von öffentlichen Sanitätsbetrieben der Region</t>
  </si>
  <si>
    <t>B.1.A.9.1)  Pharmazeutische Produkte und Blutprodukte</t>
  </si>
  <si>
    <t>B.1.A.9.3) Medizinprodukte</t>
  </si>
  <si>
    <t>B.1.A.9.4)  Diätprodukte</t>
  </si>
  <si>
    <t>B.1.A.9.5) Material für die Prophylaxe (Impfungen)</t>
  </si>
  <si>
    <t>B.1.A.9.6)  Chemische Produkte</t>
  </si>
  <si>
    <t>B.1.A.9.7)  Tierärztliches Material und Produkte</t>
  </si>
  <si>
    <t xml:space="preserve">B.1.A.9.8)  Sonstige medizinische Güter und Produkte </t>
  </si>
  <si>
    <t>B.1.B)  Ankauf von nicht-medizinischen Gütern</t>
  </si>
  <si>
    <t>B.1.B.4) Elektronische Datenträger und Schreibwaren</t>
  </si>
  <si>
    <t>B.1.B.6) Sonstige nicht-medizinische Güter und Produkte</t>
  </si>
  <si>
    <t>B.1.B.7)  Nicht-medizinische Güter und Produkte von öffentlichen Sanitätsbetrieben der Region</t>
  </si>
  <si>
    <t>B.2.A)   Ankauf von Gesundheitsdiensten</t>
  </si>
  <si>
    <t>B.2.A.1) Ankauf von Gesundheitsdiensten - Basismedizin</t>
  </si>
  <si>
    <t>B.2.A.2) Ankauf von Gesundheitsdiensten - Pharmazeutische Betreuung</t>
  </si>
  <si>
    <t xml:space="preserve">B.2.A.3) Ankauf von Gesundheitsdiensten für ambulante fachärztliche Betreuung </t>
  </si>
  <si>
    <t>B.2.A.3.2) Leistungen in der Notaufnahme ohne anschließende stationäre Aufnahme - von öffentlichen Einrichtungen (öffentliche Sanitätsbetriebe der Region)</t>
  </si>
  <si>
    <t>B.2.A.3.3) - bei öffentlichen Subjekten (sonstige öffentliche Subjekte der Region)</t>
  </si>
  <si>
    <t>B.2.A.3.4) Leistungen in der Notaufnahme ohne anschließende stationäre Aufnahme - von öffentlichen Einrichtungen (sonstige öffentliche Subjekte der Region)</t>
  </si>
  <si>
    <t>B.2.A.3.5) - bei öffentlichen Subjekten (außerhalb der Region)</t>
  </si>
  <si>
    <t>B.2.A.3.6) Leistungen in der Notaufnahme ohne anschließende stationäre Aufnahme - von öffentlichen Einrichtungen (außerhalb der Region)</t>
  </si>
  <si>
    <t>B.2.A.3.7) - bei privaten Subjekten - SUMAI-Ärzte</t>
  </si>
  <si>
    <t>B.2.A.3.8) - bei privaten Subjekten</t>
  </si>
  <si>
    <t>B.2.A.3.8.A) Gesundheitsdienste für fachärztliche Betreuung bei privaten IRCCS und privaten Polikliniken</t>
  </si>
  <si>
    <t>B.2.A.3.8.B) Gesundheitsdienste für Leistungen in der Notaufnahme ohne anschließende stationäre Aufnahme - von privaten IRCCS und Polikliniken</t>
  </si>
  <si>
    <t>B.2.A.3.8.C) Gesundheitsdienste für fachärztliche Betreuung bei als privat eingestuften Krankenhäusern</t>
  </si>
  <si>
    <t xml:space="preserve">B.2.A.3.8.D) Gesundheitsdienste für Leistungen in der Notaufnahme ohne anschließende stationäre Aufnahme - von als privat eingestuften Krankenhäusern </t>
  </si>
  <si>
    <t>B.2.A.3.8.C) Gesundheitsdienste für fachärztliche Betreuung bei privaten Pflegeheimen</t>
  </si>
  <si>
    <t>B.2.A.3.8.F) Gesundheitsdienste für Leistungen in der Notaufnahme ohne anschließende stationäre Aufnahme - von Privatkliniken</t>
  </si>
  <si>
    <t>B.2.A.3.8.D) Gesundheitsdienste für fachärztliche Betreuung bei sonstigen privaten Subjekten</t>
  </si>
  <si>
    <t>B.2.A.3.8.H) Gesundheitsdienste für Leistungen in der Notaufnahme ohne anschließende stationäre Aufnahme - von anderen privaten Einrichtungen</t>
  </si>
  <si>
    <t>B.2.A.3.9) - bei privaten Subjekten für nicht ansässige Bürger - außerhalb der Region (aktive Mobilität mit Verrechnung)</t>
  </si>
  <si>
    <t>B.2.A.3.10) Gesundheitsdienste für Leistungen in der Notaufnahme ohne anschließende stationäre Aufnahme - von privaten Einrichtungen für nicht im Land ansässige Bürger - Außerhalb der Region (aktive verrechnete Mobilität)</t>
  </si>
  <si>
    <t xml:space="preserve">B.2.A.4) Ankauf von Gesundheitsdiensten für Rehabilitationsbetreuung </t>
  </si>
  <si>
    <t xml:space="preserve">B.2.A.5) Ankauf von Gesundheitsdiensten für ergänzende Betreuung </t>
  </si>
  <si>
    <t xml:space="preserve">B.2.A.6) Ankauf von Gesundheitsdiensten für prothetische Betreuung </t>
  </si>
  <si>
    <t xml:space="preserve">B.2.A.7) Ankauf von Gesundheitsdiensten für Krankenhausbetreuung </t>
  </si>
  <si>
    <t>B.2.A.7.4.A) Gesundheitsdienste für Krankenhausbetreuung bei privaten IRCCS und privaten Polikliniken</t>
  </si>
  <si>
    <t>B.2.A.7.4.B) Gesundheitsdienste für Krankenhausbetreuung bei als privat eingestuften Krankenhäusern</t>
  </si>
  <si>
    <t>B.2.A.7.4.C) Gesundheitsdienste für Krankenhausbetreuung bei privaten Pflegeheimen</t>
  </si>
  <si>
    <t>B.2.A.7.4.D) Gesundheitsdienste für Krankenhausbetreuung bei sonstigen privaten Subjekten</t>
  </si>
  <si>
    <t>B.2.A.8)  Ankäufe von stationären und teilstationären psychiatrischen Leistungen</t>
  </si>
  <si>
    <t>B.2.A.8.3) - bei öffentlichen Subjekten (außerhalb der Region) - ohne Verrechnung</t>
  </si>
  <si>
    <t>B.2.A.8.5) - bei privaten Subjekten (außerhalb der Region)</t>
  </si>
  <si>
    <t xml:space="preserve">B.2.A.9)  Ankäufe von Leistungen für die Verteilung von Medikamenten im Rahmen von File F </t>
  </si>
  <si>
    <t>B.2.A.9.6) - bei privaten Subjekten für nicht ansässige Bürger - außerhalb der Region (aktive Mobilität mit Verrechnung)</t>
  </si>
  <si>
    <t>B.2.A.10)  Ankäufe von vertragsgebundenen Thermalleistungen</t>
  </si>
  <si>
    <t>B.2.A.11) Ankäufe von Leistungen für Krankentransport</t>
  </si>
  <si>
    <t>B.2.A.11.1) - bei öffentlichen Subjekten (öffentliche Sanitätsbetriebe der Region) - Mobilität innerhalb der Region</t>
  </si>
  <si>
    <t>B.2.A.11.2) - bei öffentlichen Subjekten (sonstige öffentliche Subjekte der Region)</t>
  </si>
  <si>
    <t>B.2.A.11.3) - bei öffentlichen Subjekten (außerhalb der Region)</t>
  </si>
  <si>
    <t>B.2.A.12)  Ankäufe von sozialen- und Gesundheitsleistungen von medizinischer Relevanz</t>
  </si>
  <si>
    <t>B.2.A.12.1.A) Integrierte Hausbetreuung (IHB)</t>
  </si>
  <si>
    <t>B.2.A.12.1.B) Sonstige Gesundheits- und soziale Leistungen mit gesundheitlicher Relevanz</t>
  </si>
  <si>
    <t>B.2.A.12.3) - bei öffentlichen Subjekten (Außerhalb der Region) - Ankäufe von anderen sozialen Leistungen gesundheitlicher Relevanz erbracht an öffentliche Subjekte außerhalb der Region</t>
  </si>
  <si>
    <t>B.2.A.12.4) - bei öffentlichen Subjekten (außerhalb der Region) ohne Verrechnung</t>
  </si>
  <si>
    <t>B.2.A.12.5) - bei privaten Subjekten (innerhalb der Region)</t>
  </si>
  <si>
    <t>B.2.A.12.6) - bei privaten Subjekten (außerhalb der Region)</t>
  </si>
  <si>
    <t>B.2.A.13) Beteiligungen an das Personal für freiberufliche Leistungen (Intramoenia)</t>
  </si>
  <si>
    <t>B.2.A.13.1) Beteiligungen an das Personal für freiberufliche Leistungen Intramoenia - Krankenhausbereich</t>
  </si>
  <si>
    <t xml:space="preserve">B.2.A.14) Rückerstattungen, Zuweisungen und Gesundheitsbeiträge </t>
  </si>
  <si>
    <t>B.2.A.14.1) Beiträge an ehrenamtliche Vereine</t>
  </si>
  <si>
    <t>B.2.A.14.7)  Rückerstattungen, Zuweisungen und Beiträge an die Region - GSA</t>
  </si>
  <si>
    <t>B.2.A.15)  Beratungen, Zusammenarbeiten, Zeitarbeit, andere gesundheitliche und sozialen Arbeitsleistungen</t>
  </si>
  <si>
    <t>B.2.A.15.1) Gesundheits- und soziale Beratungen von öffentlichen Sanitätsbetrieben der Region</t>
  </si>
  <si>
    <t>B.2.A.15.2) Gesundheits- und soziale Beratungen von Dritten - Sonstige öffentliche Subjekte</t>
  </si>
  <si>
    <t>B.2.A.15.3) Beratungen, Zusammenarbeiten, Zeitarbeit, andere gesundheitliche und soziale Arbeitsleistungen bei privaten Subjekten</t>
  </si>
  <si>
    <t>B.2.A.15.3.A) Gesundheitsberatungen bei privaten Subjekten - Artikel 55, Abs. 2, CCNL 8 Juni 2000</t>
  </si>
  <si>
    <t>B.2.A.15.3.B) Sonstige Gesundheits- und soziale Beratungen bei privaten Subjekten</t>
  </si>
  <si>
    <t>B.2.A.15.3.C) Koordinierte und kontinuierliche gesundheitliche und soziale Zusammenarbeit bei privaten Subjekten</t>
  </si>
  <si>
    <t>B.2.A.15.3.D) Vergütungen für Universitätspersonal -  Bereich Gesundheit</t>
  </si>
  <si>
    <t>B.2.A.15.3.E) Zeitarbeit - Bereich Gesundheit</t>
  </si>
  <si>
    <t>B.2.A.15.3.F) Sonstige Zusammenarbeiten und Arbeitsleistungen - Bereich Gesundheit</t>
  </si>
  <si>
    <t>B.2.A.15.4) Erstattung von Lohnkosten für anderweitig tätiges Gesundheitspersonal</t>
  </si>
  <si>
    <t>B.2.A.15.4.A) Erstattungen der Lohnkosten für bei anderen öffentlichen Sanitätsbetrieben der Region tätiges Gesundheitspersonal</t>
  </si>
  <si>
    <t>B.2.A.15.4.B) Erstattungen der Lohnkosten für bei Regionen, öffentlichen Subjekten und Universitäten tätiges Gesundheitspersonal</t>
  </si>
  <si>
    <t>B.2.A.15.4.C) Erstattungen der Lohnkosten für bei Betrieben anderer Regionen tätiges Gesundheitspersonal (außerhalb der Region)</t>
  </si>
  <si>
    <t>B.2.A.16) Sonstige Gesundheits- und Sozialdienste  von medizinischer Relevanz</t>
  </si>
  <si>
    <t>B.2.A.16.1)  Sonstige Gesundheits- und Sozialdienste von medizinischer Relevanz von öffentlichen Subjekten - öffentliche Sanitätsbetriebe der Region</t>
  </si>
  <si>
    <t>B.2.A.16.2) Sonstige Gesundheits- und Sozialdienste von medizinischer Relevanz von öffentlichen Subjekten - sonstige öffentliche Subjekte der Region</t>
  </si>
  <si>
    <t>B.2.A.16.3) Sonstige Gesundheits- und Sozialdienste von medizinischer Relevanz von öffentlichen Subjekten (außerhalb der Region)</t>
  </si>
  <si>
    <t>B.2.A.16.4) Sonstige Gesundheitsdienste bei privaten Subjekten</t>
  </si>
  <si>
    <t>B.2.A.16.5) Aufwendungen für Gesundheitsdienste- internationale passive Mobilität</t>
  </si>
  <si>
    <t>B.2.A.16.6)  Aufwendungen für Gesundheitsdienste- internationale passive Mobilität von den SB erhoben</t>
  </si>
  <si>
    <t>B.2.A.16.7) Aufwendungen für Gesundheitsleistungen von ausländischen Sanitätsbetreiben erbracht (direkt verrechnet)</t>
  </si>
  <si>
    <t xml:space="preserve">B.2.A.17) Kosten aufgrund der Tarifunterschiede zum Einheitstarif "TUC" </t>
  </si>
  <si>
    <t>B.2.B) Ankauf von nicht-medizinischen Leistungen</t>
  </si>
  <si>
    <t>B.2.B.1) Nicht-medizinische Leistungen</t>
  </si>
  <si>
    <t>B.2.B.1.3.A)   Mensa für das bedienstete Personal</t>
  </si>
  <si>
    <t>B.2.B.1.3.B)   Mensa Patienten</t>
  </si>
  <si>
    <t>B.2.B.1.6) (nicht-medizinische) Transportleistungen</t>
  </si>
  <si>
    <t>B.2.B.1.12) Sonstige nicht-medizinische Leistungen</t>
  </si>
  <si>
    <t>B.2.B.1.12.A) Sonstige nicht-medizinische Leistungen von öffentlichen Subjekten (öffentliche Sanitätsbetriebe der Region)</t>
  </si>
  <si>
    <t>B.2.B.1.12.B) Sonstige nicht-medizinische Leistungen von sonstigen öffentlichen Subjekten</t>
  </si>
  <si>
    <t>B.2.B.1.12.C) Sonstige nicht-medizinische Leistungen bei privaten Subjekten</t>
  </si>
  <si>
    <t xml:space="preserve">B.2.B.2)  Beratungen, Zusammenarbeiten, Zeitarbeit, andere nicht-medizinische Arbeitsleistungen </t>
  </si>
  <si>
    <t>B.2.B.2.1) Nicht-medizinische Beratungen von öffentlichen Sanitätsbetrieben der Region</t>
  </si>
  <si>
    <t>B.2.B.2.2) Nicht-medizinische Beratungen von Dritten - Sonstige öffentliche Subjekte</t>
  </si>
  <si>
    <t>B.2.B.2.3) Beratungen, Zusammenarbeiten, Zeitarbeit, andere nicht-medizinische Arbeitsleistungen bei privaten Subjekten</t>
  </si>
  <si>
    <t>B.2.B.2.3.A) Nicht-medizinische Beratungen von privaten Subjekten</t>
  </si>
  <si>
    <t>B.2.B.2.3.B) Nicht-medizinische koordinierte und kontinuierliche Zusammenarbeit bei privaten Subjekten</t>
  </si>
  <si>
    <t xml:space="preserve">B.2.B.2.3.C) Vergütungen für Universitätspersonal - nicht-medizinischer Bereich </t>
  </si>
  <si>
    <t xml:space="preserve">B.2.B.2.3.D) Zeitarbeit - nicht-medizinischer Bereich </t>
  </si>
  <si>
    <t xml:space="preserve">B.2.B.2.3.E) Sonstige Zusammenarbeiten und Arbeitsleistungen - nicht-medizinischer Bereich </t>
  </si>
  <si>
    <t xml:space="preserve">B.2.B.2.3.F) Sonstige nicht-medizinische Beratungen von privaten Subjekten - in Anwendung von Artikel 79 Absatz 1-sexies Buchstabe c) des gesetzesvertretenden Dekrets 112/2008, umgewandelt durch Gesetz 133/2008 und Gesetz Nr. 191 vom 23. Dezember 2009. </t>
  </si>
  <si>
    <t>B.2.B.2.4) Erstattung von Lohnkosten für anderweitig tätiges nicht-medizinisches Personal</t>
  </si>
  <si>
    <t>B.2.B.2.4.A) Erstattungen der Lohnkosten für bei anderen öffentlichen Sanitätsbetrieben der Region tätiges nicht-medizinisches Personal</t>
  </si>
  <si>
    <t>B.2.B.2.4.B) Erstattungen der Lohnkosten für bei Regionen, öffentlichen Subjekten und Universitäten tätiges nicht-medizinisches Personal</t>
  </si>
  <si>
    <t>B.2.B.2.4.C) Erstattungen der Lohnkosten für bei Betrieben anderer Regionen tätiges nicht-medizinisches Personal (außerhalb der Region)</t>
  </si>
  <si>
    <t xml:space="preserve">B.2.B.3) (externe und interne) Ausbildung </t>
  </si>
  <si>
    <t xml:space="preserve">B.3) (ordentliche und an Dritte vergebene) Instandhaltung und Reparaturen </t>
  </si>
  <si>
    <t>B.3.C) Instandhaltung und Reparaturen von medizinischen und wissenschaftlichen Geräten</t>
  </si>
  <si>
    <t>B.4)  Nutzung von Gütern Dritter</t>
  </si>
  <si>
    <t>B.4.A)  Passive Mieten</t>
  </si>
  <si>
    <t>B.4.B.1) Gebühren für Miete - Bereich Gesundheit</t>
  </si>
  <si>
    <t>B.4.B.2) Gebühren für Miete - nicht-medizinischer Bereich</t>
  </si>
  <si>
    <t>B.4.C.1) Raten für Leasing - Bereich Gesundheit</t>
  </si>
  <si>
    <t>B.4.C.2) Raten für Leasing - nicht-medizinischer Bereich</t>
  </si>
  <si>
    <t>B.4.D)  Raten für project financing</t>
  </si>
  <si>
    <t>Gesamte Personalkosten</t>
  </si>
  <si>
    <t xml:space="preserve">B.5)  Personal des Sanitätsstellenplans </t>
  </si>
  <si>
    <t>B.5.B.2) Kosten für nicht leitendes Personal des Sanitätsstellenplans - befristete Beschäftigung</t>
  </si>
  <si>
    <t xml:space="preserve">B.6)  Personal des Fachstellenplans </t>
  </si>
  <si>
    <t>B.7)  Personal des technischen Stellenplans</t>
  </si>
  <si>
    <t>B.7.A) Kosten für leitendes Personal des technischen Stellenplans</t>
  </si>
  <si>
    <t>B.8)  Personal des Verwaltungsstellenplans</t>
  </si>
  <si>
    <t>B.8.A) Kosten für leitendes Personal des Verwaltungsstellenplans</t>
  </si>
  <si>
    <t>B.9) Verschiedene Aufwendungen der Gebarung</t>
  </si>
  <si>
    <t>B.9.C) Sonstige verschiedene Aufwendungen der Gebarung</t>
  </si>
  <si>
    <t>B.9.C.3)  Sonstige verschiedene Aufwendungen der Gebarung von  öffentlichen Sanitätsbetrieben der Region</t>
  </si>
  <si>
    <t>B.9.C.4)  Sonstige verschiedene Aufwendungen der Gebarung - zur Selbstversicherung</t>
  </si>
  <si>
    <t>Gesamtabschreibung</t>
  </si>
  <si>
    <t>B.11.A) Abschreibungen der Gebäude</t>
  </si>
  <si>
    <t>B.11.A.1) Abschreibungen der nicht-instrumentalen verfügbaren Gebäude</t>
  </si>
  <si>
    <t>B.11.A.2) Abschreibungen der instrumentalen nicht verfügbaren Gebäude</t>
  </si>
  <si>
    <t>B.11.B) Abschreibungen anderes materielles Anlagevermögen</t>
  </si>
  <si>
    <t>B.12) Abwertung des Anlagevermögens und der Forderungen</t>
  </si>
  <si>
    <t>B.12.A) Abwertung des immateriellen und des materiellen Anlagevermögens</t>
  </si>
  <si>
    <t>B.12.B) Abwertung der Forderungen</t>
  </si>
  <si>
    <t>B.13) Veränderungen der Restbestände</t>
  </si>
  <si>
    <t>B.13.A) Veränderungen der gesundheitlichen Restbestände</t>
  </si>
  <si>
    <t>B.13.A.1) Pharmazeutische Produkte und Blutprodukte</t>
  </si>
  <si>
    <t>B.13.A.2) Blut und Blutprodukte</t>
  </si>
  <si>
    <t>B.13.A.3) Heilbehelfe</t>
  </si>
  <si>
    <t>B.13.A.4) Diätprodukte</t>
  </si>
  <si>
    <t>B.13.A.5) Material für die Prophylaxe (Impfungen)</t>
  </si>
  <si>
    <t>B.13.A.6) Chemische Produkte</t>
  </si>
  <si>
    <t>B.13.A.7) Tierärztliches Material und Produkte</t>
  </si>
  <si>
    <t>B.13.A.8)  Sonstige medizinische Güter und Produkte</t>
  </si>
  <si>
    <t>B.13.B) Veränderungen der nicht-medizinischen Restbestände</t>
  </si>
  <si>
    <t>B.13.B.1) Lebensmittel</t>
  </si>
  <si>
    <t>B.13.B.2) Kleidung, Reinigungs- und Haushaltsmaterial</t>
  </si>
  <si>
    <t>B.13.B.3) Brenn-, Treib- und Schmierstoffe</t>
  </si>
  <si>
    <t>B.13.B.4) Elektronische Datenträger und Schreibwaren</t>
  </si>
  <si>
    <t>B.13.B.5) Material für die Instandhaltung</t>
  </si>
  <si>
    <t xml:space="preserve">B.13.B.6) Sonstige nicht-medizinische Güter und Produkte </t>
  </si>
  <si>
    <t>B.14) Rückstellungen des Geschäftsjahres</t>
  </si>
  <si>
    <t>B.14.A) Rückstellungen für Risiken</t>
  </si>
  <si>
    <t>B.14.A.1) Rückstellungen für Risiken aus Zivilklagen und Prozesskosten</t>
  </si>
  <si>
    <t>B.14.A.2) Rückstellungen für Risiken aus Streitfällen mit abhängig beschäftigtem Personal</t>
  </si>
  <si>
    <t>B.14.A.3) Rückstellungen für Risiken, die mit dem Ankauf von Gesundheitsleistungen bei privaten Subjekten zusammenhängen</t>
  </si>
  <si>
    <t>B.14.A.4) Rückstellungen für Direktdeckung der Risiken (Selbstversicherung)</t>
  </si>
  <si>
    <t>B.14.A.5) Rückstellungen für Selbstbehalt der Versicherung</t>
  </si>
  <si>
    <t>B.14.A.5)  Sonstige Rückstellungen für Risiken</t>
  </si>
  <si>
    <t>B.14.A.7)  Sonstige Rückstellungen für Verzugszinsen</t>
  </si>
  <si>
    <t>B.14.B) Rückstellungen für Leistungsprämie (SUMAI-Ärzte)</t>
  </si>
  <si>
    <t>B.14.C) Rückstellungen für nicht verwendete Anteile der zielgerichteten und zweckgebundenen Beiträge</t>
  </si>
  <si>
    <t>B.14.C.1) Rückstellungen für nicht verwendete Anteile der Beiträge von der Region und Aut. Prov. für nicht-verwendungsgebundene Finanzierungen</t>
  </si>
  <si>
    <t>B.14.C.2)  Rückstellungen für nicht verwendete Anteile der Beiträge von der Region oder Aut. Prov. für Anteil am zweckgebundenen GF</t>
  </si>
  <si>
    <t xml:space="preserve">B.14.C.3)  Rückstellungen für nicht verwendete Anteile der zweckgebundenen Beiträge von öffentlichen Subjekten (außerhalb Fonds) </t>
  </si>
  <si>
    <t>B.14.C.4) Rückstellungen für nicht verwendete Anteile der Beiträge von öffentlichen Subjekten für Forschung</t>
  </si>
  <si>
    <t>B.16.C.5)  Rückstellungen für nicht verwendete Anteile der zweckgebundenen Beiträge von Privaten</t>
  </si>
  <si>
    <t>B.14.C.6)  Rückstellungen für nicht verwendete Anteile der Beiträge von privaten Subjekten für Forschung</t>
  </si>
  <si>
    <t>B.14.D.1) Rückstellungen Vertragsverlängerungen für Allgemeinärzte/Kinderärzte freier Wahl/Betreuungskontinuität</t>
  </si>
  <si>
    <t>B.14.D.2) Rückstellungen Vertragsverlängerungen für SUMAI-Ärzte</t>
  </si>
  <si>
    <t xml:space="preserve">B.14.D.3) Rückstellungen Vertragsverlängerungen: leitendes ärztliches Personal </t>
  </si>
  <si>
    <t>B.14.D.4)  Rückstellungen Vertragsverlängerungen: leitendes nicht ärztliches Personal</t>
  </si>
  <si>
    <t>B.14.D.5) Rückstellungen Vertragsverlängerungen: nicht leitendes Personal</t>
  </si>
  <si>
    <t>B.14.D.6) Rückstellungen für Abfertigungen des Personals</t>
  </si>
  <si>
    <t xml:space="preserve">B.14.D.7)  Rückstellungen für Ruhestandsbehandlung und Ähnliches </t>
  </si>
  <si>
    <t>B.14.D.8)  Rückstellungen für Zusatzrentenfonds</t>
  </si>
  <si>
    <t>B.14.D.9) Rückstellungen für Produktivitätssteigerungsprämien für technische Aufgaben Art. 113 gesetzesvertretendes Dekret 50/2016</t>
  </si>
  <si>
    <t>B.16.D.10) Sonstige Rückstellungen</t>
  </si>
  <si>
    <t>C.2.D) Sonstige nicht genannte Finanzerträge</t>
  </si>
  <si>
    <t>C.2.E) Wechselkursgewinne</t>
  </si>
  <si>
    <t>C.3.A) Passivzinsen für Kassenbevorschussungen</t>
  </si>
  <si>
    <t>C.4.B) Wechselkursverluste</t>
  </si>
  <si>
    <t>E) Außerordentliche Aufwendungen und Erträge</t>
  </si>
  <si>
    <t xml:space="preserve">E.1.B.2.1) Außerordentliche Erträge für aktive Anteile des zweckgebundenen GF </t>
  </si>
  <si>
    <t>E.1.B.2.2) Außerordentliche Erträge gegenüber öffentlichen Sanitätsbetrieben der Region</t>
  </si>
  <si>
    <t>E.1.B.2.3) Außerordentliche Erträge gegenüber Dritten</t>
  </si>
  <si>
    <t>E.1.B.2.3.A) Außerordentliche Erträge gegenüber Dritten betreffend überregionale Mobilität</t>
  </si>
  <si>
    <t>E.1.B.2.3.B) Außerordentliche Erträge gegenüber Dritten betreffend das Personal</t>
  </si>
  <si>
    <t>E.1.B.2.3.C) Außerordentliche Erträge gegenüber Dritten betreffend die Konventionen mit Hausärzten</t>
  </si>
  <si>
    <t>E.1.B.2.3.D) Außerordentliche Erträge gegenüber Dritten betreffend die Konventionen für fachärztliche Betreuung</t>
  </si>
  <si>
    <t>E.1.B.2.3.E) Außerordentliche Erträge gegenüber Dritten betreffend den Ankauf von Gesundheitsleistungen von akkreditierten Anbietern</t>
  </si>
  <si>
    <t>E.1.B.2.3.F) Außerordentliche Erträge gegenüber Dritten betreffend den Ankauf von Gütern und Dienstleistungen</t>
  </si>
  <si>
    <t>E.1.B.2.3.G) Sonstige außerordentliche Erträge</t>
  </si>
  <si>
    <t xml:space="preserve">E.1.B.3) Aktivschwund </t>
  </si>
  <si>
    <t>E.1.B.3.1) Aktivschwund gegenüber Dritten betreffend öffentliche Sanitätsbetriebe der Region</t>
  </si>
  <si>
    <t>E.1.B.3.2) Aktivschwund gegenüber Dritten</t>
  </si>
  <si>
    <t>E.1.B.3.2.A) Aktivschwund gegenüber Dritten betreffend die überregionale Mobilität</t>
  </si>
  <si>
    <t>E.1.B.3.2.B) Aktivschwund gegenüber Dritten betreffend das Personal</t>
  </si>
  <si>
    <t>E.1.B.3.2.C) Aktivschwund gegenüber Dritten betreffend die Konventionen für gesundheitliche Grundversorgung</t>
  </si>
  <si>
    <t>E.1.B.3.2.D) Aktivschwund gegenüber Dritten betreffend die Konventionen für fachärztliche Betreuung</t>
  </si>
  <si>
    <t>E.1.B.3.2.E) Aktivschwund gegenüber Dritten betreffend den Ankauf von Gesundheitsleistungen von akkreditierten Anbietern</t>
  </si>
  <si>
    <t>E.1.B.3.2.F) Aktivschwund gegenüber Dritten betreffend den Ankauf von Gütern und Dienstleistungen</t>
  </si>
  <si>
    <t>E.1.B.3.2.G) Sonstiger Aktivschwund gegenüber Dritten</t>
  </si>
  <si>
    <t>E.2.B.3.2.B.2) Außerordentliche Aufwendungen gegenüber Dritten betreffend das Personal - nicht ärztliches leitendes Personal</t>
  </si>
  <si>
    <t>E.2.B.3.2.E) Außerordentliche Aufwendungen gegenüber Dritten betreffend den Ankauf von Gesundheitsleistungen von akkreditierten Anbietern</t>
  </si>
  <si>
    <t>E.2.B.4) Passivschwund</t>
  </si>
  <si>
    <t>E.2.B.4.1) Passivschwund für Anteile des zweckgebundenen GF</t>
  </si>
  <si>
    <t>E.2.B.4.1) Passivschwund gegenüber öffentliche Sanitätsbetriebe der Region</t>
  </si>
  <si>
    <t>E.2.B.4.2) Passivschwund gegenüber Dritten</t>
  </si>
  <si>
    <t>E.2.B.4.2.A) Passivschwund gegenüber Dritten betreffend überregionale Mobilität</t>
  </si>
  <si>
    <t>E.2.B.4.2.B) Passivschwund gegenüber Dritten betreffend das Personal</t>
  </si>
  <si>
    <t>E.2.B.4.2.C) Passivschwund gegenüber Dritten betreffend die Konventionen für gesundheitliche Grundversorgung</t>
  </si>
  <si>
    <t>E.2.B.4.2.D) Passivschwund gegenüber Dritten betreffend die Konventionen für fachärztliche Betreuung</t>
  </si>
  <si>
    <t>E.2.B.4.2.E) Passivschwund gegenüber Dritten betreffend den Ankauf von Gesundheitsleistungen von akkreditieren Anbietern</t>
  </si>
  <si>
    <t>E.2.B.4.2.F) Passivschwund gegenüber Dritten betreffend den Ankauf von Gütern und Dienstleistungen</t>
  </si>
  <si>
    <t>E.2.B.4.2.G)  Sonstiger Passivschwund gegenüber Dritten</t>
  </si>
  <si>
    <t>E.2.B.5) Sonstige außerordentliche Aufwendungen</t>
  </si>
  <si>
    <t>Y) Steuern und Gebühren</t>
  </si>
  <si>
    <t>Y.1.B) IRAP betreffend bedienstetes Personal gleichgestellte Mitarbeiter und Personal</t>
  </si>
  <si>
    <t>Y.1.C) IRAP betreffend freiberufliche Tätigkeit (Intramoenia)</t>
  </si>
  <si>
    <t>Insgesamt Steuern und Gebühren (Y)</t>
  </si>
  <si>
    <t>Datum……………………</t>
  </si>
  <si>
    <t>Der Verwaltungsdirektor</t>
  </si>
  <si>
    <t>AUTONOME PROVINZ BOZEN</t>
  </si>
  <si>
    <t>NICHT KRANKENHAUSAUFENTHALTSBEZOGENE GESUNDHEITSLEISTUNGEN FÜR AUSLÄNDISCHE SANITÄTSBETRIEBE (VERRECHNETE MOBILITÄT)</t>
  </si>
  <si>
    <t>Erlöse aus Gesundheitsleistungen und sozial-gesundheitlichen Leistungen von gesundheitlicher Relevanz</t>
  </si>
  <si>
    <t>Erlöse aus Gesundheitsleistungen und sozial-gesundheitlichen Leistungen - an öffentliche Sanitätsbetriebe</t>
  </si>
  <si>
    <t>Erlöse aus Gesundheitsleistungen und sozial-gesundheitlichen Leistungen - sonstige</t>
  </si>
  <si>
    <t>Erlöse aus Gesundheitsleistungen und sozial-gesundheitlichen Leistungen - Intramoenia</t>
  </si>
  <si>
    <t xml:space="preserve">Rückerstattungen, Zuweisungen und Gesundheitsbeiträge </t>
  </si>
  <si>
    <t>Ankauf von nicht-medizinischen Leistungen</t>
  </si>
  <si>
    <t>Nicht-medizinische Leistungen</t>
  </si>
  <si>
    <t>Beratungen, Zusammenarbeiten, Zeitarbeit, andere nicht-medizinische Arbeitsleistungen</t>
  </si>
  <si>
    <t>Veränderungen der gesundheitlichen Restbestände</t>
  </si>
  <si>
    <t>Veränderungen der nicht-medizinischen Restbestände</t>
  </si>
  <si>
    <t>Beiträge von Region oder Aut. Prov. (außerhalb Fond) - zweckgebunden</t>
  </si>
  <si>
    <t>Beiträge von Region oder Aut. Prov. (außerhalb Fond) - zusätzliche Bilanzmittel zur Deckung zusätzliche WBS</t>
  </si>
  <si>
    <t>Ankäufe von Gütern</t>
  </si>
  <si>
    <t>Ankäufe von Gesundheitsgütern</t>
  </si>
  <si>
    <t>Ankäufe von nicht-medizinischen Gütern</t>
  </si>
  <si>
    <t>Ankäufe von Gesundheitsleistungen</t>
  </si>
  <si>
    <t>Ankäufe von Gesundheitsleistungen - Basismedizin</t>
  </si>
  <si>
    <t>Ankäufe von Gesundheitsleistungen - pharmazeutische Betreuung</t>
  </si>
  <si>
    <t>Ankäufe von Gesundheitsleistungen für ambulatorische fachärztliche Betreuung</t>
  </si>
  <si>
    <t>Ankäufe von Gesundheitsleistungen für Rehabilitationsbetreuung</t>
  </si>
  <si>
    <t>Ankäufe von Gesundheitsleistungen für ergänzende Betreuung</t>
  </si>
  <si>
    <t>Ankäufe von Gesundheitsleistungen für prothesische Betreuung</t>
  </si>
  <si>
    <t>Ankäufe von Gesundheitsleistungen für Krankenhausbetreuung</t>
  </si>
  <si>
    <t>Ankäufe von stationären und teilstationären psychiatrischen Leistungen</t>
  </si>
  <si>
    <t>Ankäufe von Leistungen für die Verteilung von Medikamenten im Rahmen von File F</t>
  </si>
  <si>
    <t>Ankäufe von vertragsgebundenen Thermalleistungen</t>
  </si>
  <si>
    <t>Ankäufe von Patiententransportleistungen</t>
  </si>
  <si>
    <t>Ankäufe von sozial und Gesundheitsleistungen von gesundheitlicher Relevanz</t>
  </si>
  <si>
    <t>Beratungen, Zusammenarbeiten, Zeitarbeit, andere gesundheitliche und soziale Arbeitsleistungen</t>
  </si>
  <si>
    <t>Sonstige gesundheitliche und soziale Dienstleistungen von sanitärer Relevanz</t>
  </si>
  <si>
    <t>NICHT KRANKENHAUSAUFENTHALTSBEZOGENE GESUNDHEITSLEISTUNGEN FÜR AUSLÄNDISCHE SANITÄTSBETRIEBE UND KRANKENKASSEN (DIREKT VERRECHNET)</t>
  </si>
  <si>
    <t>SOZIALABGABEN - KONVENTIONEN FÜR ÄRZTLICHEN BEREITSCHAFTSDIENST NACHT- UND FEIERTAGE</t>
  </si>
  <si>
    <t>KRANKENVERSICHERUNGSPRÄMIEN - KONVENTIONEN FÜR ÄRZTLICHEN BEREITSCHAFTSDIENST NACHT- UND FEIERTAGE</t>
  </si>
  <si>
    <t>EINKÄUFE VON SANITÄREN GÜTERN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</si>
</sst>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\-??_-;_-@_-"/>
    <numFmt numFmtId="167" formatCode="_-* #,##0.00&quot; DM&quot;_-;\-* #,##0.00&quot; DM&quot;_-;_-* \-??&quot; DM&quot;_-;_-@_-"/>
    <numFmt numFmtId="168" formatCode="_-* #,##0_-;\-* #,##0_-;_-* \-_-;_-@_-"/>
    <numFmt numFmtId="169" formatCode="_-* #,##0.00&quot; €&quot;_-;\-* #,##0.00&quot; €&quot;_-;_-* \-??&quot; €&quot;_-;_-@_-"/>
    <numFmt numFmtId="170" formatCode="_-&quot;€ &quot;* #,##0.00_-;&quot;-€ &quot;* #,##0.00_-;_-&quot;€ &quot;* \-??_-;_-@_-"/>
    <numFmt numFmtId="171" formatCode="#,###"/>
    <numFmt numFmtId="172" formatCode="_-* #,##0.00_-;\-* #,##0.00_-;_-* \-_-;_-@_-"/>
    <numFmt numFmtId="173" formatCode="_(* #,##0_);_(* \(#,##0\);_(* &quot;-&quot;_);_(@_)"/>
    <numFmt numFmtId="174" formatCode="_ * #,##0_ ;_ * \-#,##0_ ;_ * &quot;-&quot;_ ;_ @_ "/>
    <numFmt numFmtId="175" formatCode="_ * #,##0.00_ ;_ * \-#,##0.00_ ;_ * &quot;-&quot;??_ ;_ @_ "/>
    <numFmt numFmtId="176" formatCode="0.0%"/>
    <numFmt numFmtId="177" formatCode="_ * #,##0.00_ ;_ * \-#,##0.00_ ;_ * &quot;-&quot;_ ;_ @_ "/>
    <numFmt numFmtId="178" formatCode="\+\ 0.00%;[Red]\ \ \-\ 0.00%"/>
    <numFmt numFmtId="179" formatCode="_ * #,##0.00\ ;_ * \-#,##0.00\ ;_ * &quot;-&quot;_ ;_ @_ "/>
    <numFmt numFmtId="180" formatCode="\+\ 0.00%\ ;\-\ 0.00%\ "/>
    <numFmt numFmtId="181" formatCode="_-&quot;£&quot;* #,##0_-;\-&quot;£&quot;* #,##0_-;_-&quot;£&quot;* &quot;-&quot;_-;_-@_-"/>
    <numFmt numFmtId="182" formatCode="\+#,##0.00_-;[Red]\-#,##0.00_-;_-* \-??_-;_-@_-"/>
  </numFmts>
  <fonts count="8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sz val="10"/>
      <name val="Verdan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2"/>
      <name val="New Century Schlbk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7"/>
      <name val="Verdana"/>
      <family val="2"/>
    </font>
    <font>
      <sz val="8"/>
      <color indexed="4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0"/>
      <name val="Tahoma"/>
      <family val="2"/>
    </font>
    <font>
      <b/>
      <i/>
      <sz val="12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b/>
      <i/>
      <u/>
      <sz val="10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20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b/>
      <i/>
      <sz val="12"/>
      <name val="Verdana"/>
      <family val="2"/>
    </font>
    <font>
      <i/>
      <sz val="14"/>
      <name val="Verdana"/>
      <family val="2"/>
    </font>
    <font>
      <i/>
      <sz val="11"/>
      <name val="Verdana"/>
      <family val="2"/>
    </font>
    <font>
      <b/>
      <sz val="14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u val="double"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trike/>
      <sz val="8"/>
      <name val="Verdana"/>
      <family val="2"/>
    </font>
    <font>
      <strike/>
      <sz val="9"/>
      <name val="Verdana"/>
      <family val="2"/>
    </font>
    <font>
      <sz val="10"/>
      <name val="MS Sans Serif"/>
      <family val="2"/>
    </font>
    <font>
      <b/>
      <sz val="12"/>
      <name val="New Century Schlbk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4"/>
      <name val="Tahoma"/>
      <family val="2"/>
    </font>
    <font>
      <sz val="12"/>
      <color rgb="FFFF000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sz val="9"/>
      <name val="Tahoma"/>
      <family val="2"/>
    </font>
    <font>
      <sz val="14"/>
      <name val="Calibri"/>
      <family val="2"/>
      <scheme val="minor"/>
    </font>
    <font>
      <b/>
      <sz val="11"/>
      <color rgb="FFFF0000"/>
      <name val="Tahoma"/>
      <family val="2"/>
    </font>
    <font>
      <b/>
      <sz val="12"/>
      <color rgb="FFFF0000"/>
      <name val="Tahoma"/>
      <family val="2"/>
    </font>
    <font>
      <b/>
      <i/>
      <sz val="12"/>
      <color rgb="FFFF0000"/>
      <name val="Tahoma"/>
      <family val="2"/>
    </font>
    <font>
      <strike/>
      <sz val="10"/>
      <name val="Tahoma"/>
      <family val="2"/>
    </font>
    <font>
      <b/>
      <sz val="18"/>
      <name val="Tahoma"/>
      <family val="2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34"/>
      </patternFill>
    </fill>
    <fill>
      <patternFill patternType="solid">
        <fgColor indexed="8"/>
        <bgColor indexed="58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241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8" borderId="0" applyNumberFormat="0" applyBorder="0" applyAlignment="0" applyProtection="0"/>
    <xf numFmtId="0" fontId="51" fillId="7" borderId="0" applyNumberFormat="0" applyBorder="0" applyAlignment="0" applyProtection="0"/>
    <xf numFmtId="0" fontId="51" fillId="10" borderId="0" applyNumberFormat="0" applyBorder="0" applyAlignment="0" applyProtection="0"/>
    <xf numFmtId="0" fontId="51" fillId="13" borderId="0" applyNumberFormat="0" applyBorder="0" applyAlignment="0" applyProtection="0"/>
    <xf numFmtId="0" fontId="51" fillId="9" borderId="0" applyNumberFormat="0" applyBorder="0" applyAlignment="0" applyProtection="0"/>
    <xf numFmtId="0" fontId="51" fillId="14" borderId="0" applyNumberFormat="0" applyBorder="0" applyAlignment="0" applyProtection="0"/>
    <xf numFmtId="0" fontId="51" fillId="6" borderId="0" applyNumberFormat="0" applyBorder="0" applyAlignment="0" applyProtection="0"/>
    <xf numFmtId="0" fontId="51" fillId="13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9" borderId="0" applyNumberFormat="0" applyBorder="0" applyAlignment="0" applyProtection="0"/>
    <xf numFmtId="0" fontId="51" fillId="17" borderId="0" applyNumberFormat="0" applyBorder="0" applyAlignment="0" applyProtection="0"/>
    <xf numFmtId="0" fontId="51" fillId="16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5" borderId="0" applyNumberFormat="0" applyBorder="0" applyAlignment="0" applyProtection="0"/>
    <xf numFmtId="0" fontId="13" fillId="4" borderId="0" applyNumberFormat="0" applyBorder="0" applyAlignment="0" applyProtection="0"/>
    <xf numFmtId="0" fontId="4" fillId="16" borderId="1" applyNumberFormat="0" applyAlignment="0" applyProtection="0"/>
    <xf numFmtId="0" fontId="6" fillId="26" borderId="2" applyNumberFormat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6" fontId="38" fillId="0" borderId="0" applyFill="0" applyBorder="0" applyAlignment="0" applyProtection="0"/>
    <xf numFmtId="167" fontId="38" fillId="0" borderId="0" applyFill="0" applyBorder="0" applyAlignment="0" applyProtection="0"/>
    <xf numFmtId="168" fontId="38" fillId="0" borderId="0" applyFill="0" applyBorder="0" applyAlignment="0" applyProtection="0"/>
    <xf numFmtId="168" fontId="38" fillId="0" borderId="0" applyFill="0" applyBorder="0" applyAlignment="0" applyProtection="0"/>
    <xf numFmtId="169" fontId="38" fillId="0" borderId="0" applyFill="0" applyBorder="0" applyAlignment="0" applyProtection="0"/>
    <xf numFmtId="169" fontId="38" fillId="0" borderId="0" applyFill="0" applyBorder="0" applyAlignment="0" applyProtection="0"/>
    <xf numFmtId="169" fontId="38" fillId="0" borderId="0" applyFill="0" applyBorder="0" applyAlignment="0" applyProtection="0"/>
    <xf numFmtId="164" fontId="38" fillId="0" borderId="0" applyFont="0" applyFill="0" applyBorder="0" applyAlignment="0" applyProtection="0"/>
    <xf numFmtId="170" fontId="38" fillId="0" borderId="0" applyFill="0" applyBorder="0" applyAlignment="0" applyProtection="0"/>
    <xf numFmtId="0" fontId="11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52" fillId="0" borderId="3" applyNumberFormat="0" applyFill="0" applyAlignment="0" applyProtection="0"/>
    <xf numFmtId="0" fontId="53" fillId="0" borderId="4" applyNumberFormat="0" applyFill="0" applyAlignment="0" applyProtection="0"/>
    <xf numFmtId="0" fontId="54" fillId="0" borderId="5" applyNumberFormat="0" applyFill="0" applyAlignment="0" applyProtection="0"/>
    <xf numFmtId="0" fontId="54" fillId="0" borderId="0" applyNumberFormat="0" applyFill="0" applyBorder="0" applyAlignment="0" applyProtection="0"/>
    <xf numFmtId="166" fontId="38" fillId="0" borderId="0" applyFill="0" applyBorder="0" applyAlignment="0" applyProtection="0"/>
    <xf numFmtId="166" fontId="38" fillId="0" borderId="0" applyFill="0" applyBorder="0" applyAlignment="0" applyProtection="0"/>
    <xf numFmtId="165" fontId="38" fillId="0" borderId="0" applyFont="0" applyFill="0" applyBorder="0" applyAlignment="0" applyProtection="0"/>
    <xf numFmtId="0" fontId="5" fillId="0" borderId="6" applyNumberFormat="0" applyFill="0" applyAlignment="0" applyProtection="0"/>
    <xf numFmtId="168" fontId="38" fillId="0" borderId="0" applyFill="0" applyBorder="0" applyAlignment="0" applyProtection="0"/>
    <xf numFmtId="168" fontId="38" fillId="0" borderId="0" applyFill="0" applyBorder="0" applyAlignment="0" applyProtection="0"/>
    <xf numFmtId="41" fontId="38" fillId="0" borderId="0" applyFont="0" applyFill="0" applyBorder="0" applyAlignment="0" applyProtection="0"/>
    <xf numFmtId="41" fontId="2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6" fontId="38" fillId="0" borderId="0" applyFill="0" applyBorder="0" applyAlignment="0" applyProtection="0"/>
    <xf numFmtId="43" fontId="3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38" fillId="0" borderId="0"/>
    <xf numFmtId="0" fontId="60" fillId="0" borderId="0"/>
    <xf numFmtId="0" fontId="55" fillId="0" borderId="0"/>
    <xf numFmtId="0" fontId="62" fillId="0" borderId="0"/>
    <xf numFmtId="0" fontId="3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10" borderId="7" applyNumberFormat="0" applyFont="0" applyAlignment="0" applyProtection="0"/>
    <xf numFmtId="0" fontId="38" fillId="10" borderId="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ill="0" applyBorder="0" applyAlignment="0" applyProtection="0"/>
    <xf numFmtId="9" fontId="38" fillId="0" borderId="0" applyFill="0" applyBorder="0" applyAlignment="0" applyProtection="0"/>
    <xf numFmtId="0" fontId="38" fillId="0" borderId="0"/>
    <xf numFmtId="0" fontId="9" fillId="0" borderId="0"/>
    <xf numFmtId="0" fontId="56" fillId="0" borderId="0" applyNumberFormat="0" applyFill="0" applyBorder="0" applyAlignment="0" applyProtection="0"/>
    <xf numFmtId="171" fontId="61" fillId="0" borderId="0">
      <alignment horizontal="left"/>
    </xf>
    <xf numFmtId="171" fontId="12" fillId="0" borderId="0">
      <alignment horizontal="left"/>
    </xf>
    <xf numFmtId="0" fontId="57" fillId="0" borderId="8" applyNumberFormat="0" applyFill="0" applyAlignment="0" applyProtection="0"/>
    <xf numFmtId="0" fontId="14" fillId="27" borderId="0" applyNumberFormat="0" applyBorder="0" applyAlignment="0" applyProtection="0"/>
    <xf numFmtId="181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51" fillId="0" borderId="0"/>
    <xf numFmtId="0" fontId="2" fillId="0" borderId="0"/>
    <xf numFmtId="166" fontId="2" fillId="0" borderId="0" applyFill="0" applyBorder="0" applyAlignment="0" applyProtection="0"/>
    <xf numFmtId="0" fontId="63" fillId="0" borderId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17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10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0" fontId="65" fillId="2" borderId="0" applyNumberFormat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1" borderId="0" applyNumberFormat="0" applyBorder="0" applyAlignment="0" applyProtection="0"/>
    <xf numFmtId="0" fontId="65" fillId="11" borderId="0" applyNumberFormat="0" applyBorder="0" applyAlignment="0" applyProtection="0"/>
    <xf numFmtId="0" fontId="65" fillId="44" borderId="0" applyNumberFormat="0" applyBorder="0" applyAlignment="0" applyProtection="0"/>
    <xf numFmtId="0" fontId="65" fillId="12" borderId="0" applyNumberFormat="0" applyBorder="0" applyAlignment="0" applyProtection="0"/>
    <xf numFmtId="0" fontId="65" fillId="11" borderId="0" applyNumberFormat="0" applyBorder="0" applyAlignment="0" applyProtection="0"/>
    <xf numFmtId="0" fontId="65" fillId="45" borderId="0" applyNumberFormat="0" applyBorder="0" applyAlignment="0" applyProtection="0"/>
    <xf numFmtId="0" fontId="65" fillId="41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1" borderId="0" applyNumberFormat="0" applyBorder="0" applyAlignment="0" applyProtection="0"/>
    <xf numFmtId="0" fontId="4" fillId="2" borderId="1" applyNumberFormat="0" applyAlignment="0" applyProtection="0"/>
    <xf numFmtId="0" fontId="5" fillId="0" borderId="6" applyNumberFormat="0" applyFill="0" applyAlignment="0" applyProtection="0"/>
    <xf numFmtId="0" fontId="6" fillId="47" borderId="2" applyNumberFormat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46" borderId="0" applyNumberFormat="0" applyBorder="0" applyAlignment="0" applyProtection="0"/>
    <xf numFmtId="0" fontId="3" fillId="51" borderId="0" applyNumberFormat="0" applyBorder="0" applyAlignment="0" applyProtection="0"/>
    <xf numFmtId="43" fontId="2" fillId="0" borderId="0" applyFont="0" applyFill="0" applyBorder="0" applyAlignment="0" applyProtection="0"/>
    <xf numFmtId="0" fontId="66" fillId="41" borderId="1" applyNumberFormat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0" fontId="64" fillId="0" borderId="0"/>
    <xf numFmtId="0" fontId="2" fillId="42" borderId="7" applyNumberFormat="0" applyAlignment="0" applyProtection="0"/>
    <xf numFmtId="0" fontId="64" fillId="10" borderId="7" applyNumberFormat="0" applyFont="0" applyAlignment="0" applyProtection="0"/>
    <xf numFmtId="0" fontId="67" fillId="11" borderId="112" applyNumberFormat="0" applyAlignment="0" applyProtection="0"/>
    <xf numFmtId="0" fontId="64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1" fontId="61" fillId="0" borderId="0">
      <alignment horizontal="left"/>
    </xf>
    <xf numFmtId="0" fontId="68" fillId="0" borderId="113" applyNumberFormat="0" applyFill="0" applyAlignment="0" applyProtection="0"/>
    <xf numFmtId="0" fontId="69" fillId="0" borderId="4" applyNumberFormat="0" applyFill="0" applyAlignment="0" applyProtection="0"/>
    <xf numFmtId="0" fontId="70" fillId="0" borderId="114" applyNumberFormat="0" applyFill="0" applyAlignment="0" applyProtection="0"/>
    <xf numFmtId="0" fontId="70" fillId="0" borderId="0" applyNumberFormat="0" applyFill="0" applyBorder="0" applyAlignment="0" applyProtection="0"/>
    <xf numFmtId="0" fontId="67" fillId="0" borderId="115" applyNumberFormat="0" applyFill="0" applyAlignment="0" applyProtection="0"/>
    <xf numFmtId="171" fontId="12" fillId="0" borderId="0">
      <alignment horizontal="left"/>
    </xf>
    <xf numFmtId="0" fontId="13" fillId="52" borderId="0" applyNumberFormat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12" borderId="0" applyNumberFormat="0" applyBorder="0" applyAlignment="0" applyProtection="0"/>
    <xf numFmtId="0" fontId="2" fillId="0" borderId="0"/>
    <xf numFmtId="0" fontId="82" fillId="0" borderId="0"/>
    <xf numFmtId="43" fontId="2" fillId="0" borderId="0" applyFont="0" applyFill="0" applyBorder="0" applyAlignment="0" applyProtection="0"/>
  </cellStyleXfs>
  <cellXfs count="686">
    <xf numFmtId="0" fontId="0" fillId="0" borderId="0" xfId="0"/>
    <xf numFmtId="0" fontId="15" fillId="0" borderId="0" xfId="0" applyFont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6" fillId="28" borderId="11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16" fillId="28" borderId="1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28" borderId="13" xfId="0" applyNumberFormat="1" applyFont="1" applyFill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0" xfId="87" applyFont="1" applyFill="1" applyAlignment="1">
      <alignment vertical="center"/>
    </xf>
    <xf numFmtId="0" fontId="28" fillId="0" borderId="0" xfId="87" applyFont="1" applyFill="1" applyAlignment="1">
      <alignment vertical="center"/>
    </xf>
    <xf numFmtId="0" fontId="9" fillId="0" borderId="0" xfId="95" applyFont="1"/>
    <xf numFmtId="0" fontId="9" fillId="0" borderId="0" xfId="95" applyFont="1" applyAlignment="1">
      <alignment vertical="center"/>
    </xf>
    <xf numFmtId="0" fontId="22" fillId="0" borderId="0" xfId="95" applyFont="1" applyAlignment="1">
      <alignment vertical="center"/>
    </xf>
    <xf numFmtId="0" fontId="23" fillId="0" borderId="15" xfId="95" applyFont="1" applyBorder="1" applyAlignment="1">
      <alignment horizontal="center" vertical="center"/>
    </xf>
    <xf numFmtId="0" fontId="23" fillId="0" borderId="11" xfId="95" applyFont="1" applyBorder="1" applyAlignment="1">
      <alignment vertical="center" wrapText="1"/>
    </xf>
    <xf numFmtId="166" fontId="23" fillId="0" borderId="16" xfId="0" applyNumberFormat="1" applyFont="1" applyFill="1" applyBorder="1" applyAlignment="1">
      <alignment horizontal="center" vertical="center" wrapText="1"/>
    </xf>
    <xf numFmtId="0" fontId="9" fillId="0" borderId="11" xfId="95" applyFont="1" applyBorder="1" applyAlignment="1">
      <alignment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166" fontId="23" fillId="0" borderId="16" xfId="0" applyNumberFormat="1" applyFont="1" applyBorder="1" applyAlignment="1">
      <alignment horizontal="center" vertical="center" wrapText="1"/>
    </xf>
    <xf numFmtId="0" fontId="9" fillId="0" borderId="11" xfId="95" applyFont="1" applyBorder="1" applyAlignment="1">
      <alignment horizontal="left" vertical="center" wrapText="1" indent="2"/>
    </xf>
    <xf numFmtId="166" fontId="9" fillId="0" borderId="0" xfId="95" applyNumberFormat="1" applyFont="1"/>
    <xf numFmtId="0" fontId="9" fillId="0" borderId="17" xfId="95" applyFont="1" applyBorder="1" applyAlignment="1">
      <alignment horizontal="center" vertical="center" wrapText="1"/>
    </xf>
    <xf numFmtId="0" fontId="28" fillId="0" borderId="0" xfId="87" applyFont="1" applyFill="1" applyAlignment="1">
      <alignment horizontal="center" vertical="center"/>
    </xf>
    <xf numFmtId="0" fontId="28" fillId="0" borderId="0" xfId="87" applyFont="1" applyFill="1" applyBorder="1" applyAlignment="1">
      <alignment horizontal="center" vertical="center"/>
    </xf>
    <xf numFmtId="0" fontId="28" fillId="0" borderId="0" xfId="87" applyFont="1" applyFill="1" applyBorder="1" applyAlignment="1">
      <alignment horizontal="left" vertical="center"/>
    </xf>
    <xf numFmtId="0" fontId="25" fillId="0" borderId="0" xfId="87" applyFont="1" applyFill="1" applyBorder="1" applyAlignment="1">
      <alignment vertical="center"/>
    </xf>
    <xf numFmtId="0" fontId="28" fillId="0" borderId="0" xfId="87" applyFont="1" applyFill="1" applyBorder="1" applyAlignment="1">
      <alignment vertical="center"/>
    </xf>
    <xf numFmtId="0" fontId="22" fillId="29" borderId="0" xfId="84" applyFont="1" applyFill="1"/>
    <xf numFmtId="0" fontId="39" fillId="29" borderId="0" xfId="84" applyFont="1" applyFill="1" applyAlignment="1">
      <alignment vertical="center"/>
    </xf>
    <xf numFmtId="0" fontId="22" fillId="29" borderId="0" xfId="84" applyFont="1" applyFill="1" applyAlignment="1">
      <alignment horizontal="center" vertical="center"/>
    </xf>
    <xf numFmtId="0" fontId="22" fillId="29" borderId="0" xfId="85" applyFont="1" applyFill="1" applyAlignment="1">
      <alignment vertical="center"/>
    </xf>
    <xf numFmtId="0" fontId="40" fillId="29" borderId="18" xfId="85" applyFont="1" applyFill="1" applyBorder="1" applyAlignment="1">
      <alignment horizontal="centerContinuous" vertical="center"/>
    </xf>
    <xf numFmtId="0" fontId="41" fillId="29" borderId="19" xfId="85" applyFont="1" applyFill="1" applyBorder="1" applyAlignment="1">
      <alignment horizontal="centerContinuous" vertical="center"/>
    </xf>
    <xf numFmtId="0" fontId="42" fillId="29" borderId="20" xfId="85" applyFont="1" applyFill="1" applyBorder="1" applyAlignment="1">
      <alignment horizontal="centerContinuous" vertical="center"/>
    </xf>
    <xf numFmtId="0" fontId="23" fillId="29" borderId="21" xfId="85" applyFont="1" applyFill="1" applyBorder="1" applyAlignment="1">
      <alignment horizontal="centerContinuous" vertical="center"/>
    </xf>
    <xf numFmtId="0" fontId="41" fillId="29" borderId="22" xfId="85" applyFont="1" applyFill="1" applyBorder="1" applyAlignment="1">
      <alignment horizontal="centerContinuous" vertical="center"/>
    </xf>
    <xf numFmtId="0" fontId="41" fillId="29" borderId="23" xfId="85" applyFont="1" applyFill="1" applyBorder="1" applyAlignment="1">
      <alignment horizontal="centerContinuous" vertical="center"/>
    </xf>
    <xf numFmtId="0" fontId="23" fillId="29" borderId="24" xfId="85" applyFont="1" applyFill="1" applyBorder="1" applyAlignment="1">
      <alignment horizontal="centerContinuous" vertical="center"/>
    </xf>
    <xf numFmtId="0" fontId="23" fillId="29" borderId="25" xfId="85" applyFont="1" applyFill="1" applyBorder="1" applyAlignment="1">
      <alignment horizontal="centerContinuous" vertical="center"/>
    </xf>
    <xf numFmtId="0" fontId="22" fillId="29" borderId="0" xfId="85" applyFont="1" applyFill="1"/>
    <xf numFmtId="0" fontId="43" fillId="29" borderId="0" xfId="85" applyFont="1" applyFill="1" applyAlignment="1">
      <alignment horizontal="center" vertical="center"/>
    </xf>
    <xf numFmtId="0" fontId="44" fillId="29" borderId="0" xfId="85" applyFont="1" applyFill="1" applyAlignment="1">
      <alignment horizontal="center" vertical="center"/>
    </xf>
    <xf numFmtId="0" fontId="45" fillId="29" borderId="26" xfId="47" applyNumberFormat="1" applyFont="1" applyFill="1" applyBorder="1" applyAlignment="1">
      <alignment horizontal="centerContinuous" vertical="center" wrapText="1"/>
    </xf>
    <xf numFmtId="0" fontId="45" fillId="29" borderId="27" xfId="47" applyNumberFormat="1" applyFont="1" applyFill="1" applyBorder="1" applyAlignment="1">
      <alignment horizontal="centerContinuous" vertical="center" wrapText="1"/>
    </xf>
    <xf numFmtId="0" fontId="45" fillId="29" borderId="28" xfId="47" applyNumberFormat="1" applyFont="1" applyFill="1" applyBorder="1" applyAlignment="1">
      <alignment horizontal="centerContinuous" vertical="center" wrapText="1"/>
    </xf>
    <xf numFmtId="4" fontId="23" fillId="29" borderId="29" xfId="71" applyNumberFormat="1" applyFont="1" applyFill="1" applyBorder="1" applyAlignment="1">
      <alignment horizontal="centerContinuous" wrapText="1"/>
    </xf>
    <xf numFmtId="4" fontId="23" fillId="29" borderId="19" xfId="71" applyNumberFormat="1" applyFont="1" applyFill="1" applyBorder="1" applyAlignment="1">
      <alignment horizontal="centerContinuous" vertical="center" wrapText="1"/>
    </xf>
    <xf numFmtId="4" fontId="23" fillId="29" borderId="30" xfId="71" applyNumberFormat="1" applyFont="1" applyFill="1" applyBorder="1" applyAlignment="1">
      <alignment horizontal="centerContinuous" vertical="center" wrapText="1"/>
    </xf>
    <xf numFmtId="0" fontId="45" fillId="29" borderId="31" xfId="47" applyNumberFormat="1" applyFont="1" applyFill="1" applyBorder="1" applyAlignment="1">
      <alignment horizontal="centerContinuous" vertical="center" wrapText="1"/>
    </xf>
    <xf numFmtId="0" fontId="45" fillId="29" borderId="32" xfId="47" applyNumberFormat="1" applyFont="1" applyFill="1" applyBorder="1" applyAlignment="1">
      <alignment horizontal="centerContinuous" vertical="center" wrapText="1"/>
    </xf>
    <xf numFmtId="0" fontId="45" fillId="29" borderId="33" xfId="47" applyNumberFormat="1" applyFont="1" applyFill="1" applyBorder="1" applyAlignment="1">
      <alignment horizontal="centerContinuous" vertical="center" wrapText="1"/>
    </xf>
    <xf numFmtId="1" fontId="23" fillId="29" borderId="34" xfId="71" applyNumberFormat="1" applyFont="1" applyFill="1" applyBorder="1" applyAlignment="1">
      <alignment horizontal="centerContinuous" vertical="top" wrapText="1"/>
    </xf>
    <xf numFmtId="4" fontId="46" fillId="29" borderId="35" xfId="71" applyNumberFormat="1" applyFont="1" applyFill="1" applyBorder="1" applyAlignment="1">
      <alignment horizontal="center" vertical="center" wrapText="1"/>
    </xf>
    <xf numFmtId="4" fontId="46" fillId="29" borderId="36" xfId="71" applyNumberFormat="1" applyFont="1" applyFill="1" applyBorder="1" applyAlignment="1">
      <alignment horizontal="center" vertical="center" wrapText="1"/>
    </xf>
    <xf numFmtId="0" fontId="24" fillId="29" borderId="0" xfId="85" applyFont="1" applyFill="1" applyAlignment="1">
      <alignment vertical="center"/>
    </xf>
    <xf numFmtId="0" fontId="22" fillId="0" borderId="0" xfId="85" applyFont="1" applyFill="1" applyAlignment="1">
      <alignment vertical="center"/>
    </xf>
    <xf numFmtId="0" fontId="24" fillId="29" borderId="0" xfId="85" applyFont="1" applyFill="1" applyBorder="1" applyAlignment="1">
      <alignment vertical="center"/>
    </xf>
    <xf numFmtId="49" fontId="23" fillId="29" borderId="0" xfId="85" applyNumberFormat="1" applyFont="1" applyFill="1" applyAlignment="1">
      <alignment horizontal="center" vertical="center"/>
    </xf>
    <xf numFmtId="49" fontId="9" fillId="29" borderId="0" xfId="85" applyNumberFormat="1" applyFont="1" applyFill="1" applyAlignment="1">
      <alignment horizontal="center" vertical="center"/>
    </xf>
    <xf numFmtId="49" fontId="9" fillId="29" borderId="0" xfId="85" applyNumberFormat="1" applyFont="1" applyFill="1" applyAlignment="1">
      <alignment vertical="center"/>
    </xf>
    <xf numFmtId="174" fontId="9" fillId="29" borderId="0" xfId="72" applyNumberFormat="1" applyFont="1" applyFill="1" applyAlignment="1">
      <alignment vertical="center"/>
    </xf>
    <xf numFmtId="174" fontId="23" fillId="29" borderId="0" xfId="85" applyNumberFormat="1" applyFont="1" applyFill="1" applyAlignment="1">
      <alignment vertical="center"/>
    </xf>
    <xf numFmtId="176" fontId="23" fillId="29" borderId="0" xfId="91" applyNumberFormat="1" applyFont="1" applyFill="1" applyAlignment="1">
      <alignment vertical="center"/>
    </xf>
    <xf numFmtId="0" fontId="24" fillId="29" borderId="0" xfId="84" applyFont="1" applyFill="1" applyAlignment="1">
      <alignment horizontal="center" vertical="center"/>
    </xf>
    <xf numFmtId="177" fontId="22" fillId="29" borderId="0" xfId="72" applyNumberFormat="1" applyFont="1" applyFill="1"/>
    <xf numFmtId="49" fontId="24" fillId="29" borderId="0" xfId="85" applyNumberFormat="1" applyFont="1" applyFill="1" applyAlignment="1">
      <alignment horizontal="center" vertical="center"/>
    </xf>
    <xf numFmtId="49" fontId="22" fillId="29" borderId="0" xfId="85" applyNumberFormat="1" applyFont="1" applyFill="1" applyAlignment="1">
      <alignment horizontal="center" vertical="center"/>
    </xf>
    <xf numFmtId="49" fontId="22" fillId="29" borderId="0" xfId="85" applyNumberFormat="1" applyFont="1" applyFill="1"/>
    <xf numFmtId="0" fontId="22" fillId="29" borderId="0" xfId="85" applyFont="1" applyFill="1" applyAlignment="1">
      <alignment horizontal="center" vertical="center"/>
    </xf>
    <xf numFmtId="0" fontId="24" fillId="29" borderId="0" xfId="85" applyFont="1" applyFill="1" applyAlignment="1">
      <alignment horizontal="center" vertical="center"/>
    </xf>
    <xf numFmtId="0" fontId="9" fillId="0" borderId="0" xfId="83" applyFont="1" applyFill="1" applyBorder="1" applyAlignment="1">
      <alignment vertical="center"/>
    </xf>
    <xf numFmtId="0" fontId="9" fillId="0" borderId="0" xfId="83" applyFont="1" applyBorder="1" applyAlignment="1">
      <alignment vertical="center"/>
    </xf>
    <xf numFmtId="49" fontId="15" fillId="0" borderId="37" xfId="83" applyNumberFormat="1" applyFont="1" applyBorder="1" applyAlignment="1">
      <alignment horizontal="center" vertical="center" wrapText="1"/>
    </xf>
    <xf numFmtId="49" fontId="15" fillId="0" borderId="37" xfId="83" applyNumberFormat="1" applyFont="1" applyFill="1" applyBorder="1" applyAlignment="1">
      <alignment horizontal="center" vertical="center" wrapText="1"/>
    </xf>
    <xf numFmtId="49" fontId="16" fillId="0" borderId="37" xfId="83" applyNumberFormat="1" applyFont="1" applyFill="1" applyBorder="1" applyAlignment="1">
      <alignment horizontal="center" vertical="center" wrapText="1"/>
    </xf>
    <xf numFmtId="0" fontId="15" fillId="0" borderId="38" xfId="83" applyFont="1" applyFill="1" applyBorder="1" applyAlignment="1">
      <alignment horizontal="center" vertical="center" wrapText="1"/>
    </xf>
    <xf numFmtId="49" fontId="16" fillId="0" borderId="37" xfId="83" applyNumberFormat="1" applyFont="1" applyBorder="1" applyAlignment="1">
      <alignment horizontal="center" vertical="center" wrapText="1"/>
    </xf>
    <xf numFmtId="0" fontId="23" fillId="0" borderId="0" xfId="83" applyFont="1" applyFill="1" applyBorder="1" applyAlignment="1">
      <alignment vertical="center"/>
    </xf>
    <xf numFmtId="4" fontId="58" fillId="0" borderId="0" xfId="83" applyNumberFormat="1" applyFont="1" applyFill="1" applyBorder="1" applyAlignment="1">
      <alignment vertical="center" wrapText="1"/>
    </xf>
    <xf numFmtId="4" fontId="15" fillId="0" borderId="0" xfId="83" applyNumberFormat="1" applyFont="1" applyFill="1" applyBorder="1" applyAlignment="1">
      <alignment vertical="center" wrapText="1"/>
    </xf>
    <xf numFmtId="4" fontId="15" fillId="0" borderId="0" xfId="83" applyNumberFormat="1" applyFont="1" applyBorder="1" applyAlignment="1">
      <alignment vertical="center" wrapText="1"/>
    </xf>
    <xf numFmtId="49" fontId="15" fillId="30" borderId="37" xfId="83" applyNumberFormat="1" applyFont="1" applyFill="1" applyBorder="1" applyAlignment="1">
      <alignment horizontal="center" vertical="center" wrapText="1"/>
    </xf>
    <xf numFmtId="49" fontId="16" fillId="30" borderId="37" xfId="83" applyNumberFormat="1" applyFont="1" applyFill="1" applyBorder="1" applyAlignment="1">
      <alignment horizontal="center" vertical="center" wrapText="1"/>
    </xf>
    <xf numFmtId="0" fontId="15" fillId="0" borderId="0" xfId="83" applyFont="1" applyBorder="1" applyAlignment="1">
      <alignment horizontal="center" vertical="center" wrapText="1"/>
    </xf>
    <xf numFmtId="0" fontId="15" fillId="0" borderId="0" xfId="83" applyFont="1" applyBorder="1" applyAlignment="1">
      <alignment vertical="center" wrapText="1"/>
    </xf>
    <xf numFmtId="4" fontId="19" fillId="0" borderId="0" xfId="83" applyNumberFormat="1" applyFont="1" applyBorder="1" applyAlignment="1">
      <alignment vertical="center" wrapText="1"/>
    </xf>
    <xf numFmtId="43" fontId="9" fillId="0" borderId="0" xfId="83" applyNumberFormat="1" applyFont="1" applyFill="1" applyBorder="1" applyAlignment="1">
      <alignment vertical="center"/>
    </xf>
    <xf numFmtId="4" fontId="16" fillId="0" borderId="0" xfId="83" applyNumberFormat="1" applyFont="1" applyFill="1" applyBorder="1" applyAlignment="1">
      <alignment vertical="center" wrapText="1"/>
    </xf>
    <xf numFmtId="0" fontId="16" fillId="31" borderId="40" xfId="83" applyFont="1" applyFill="1" applyBorder="1" applyAlignment="1">
      <alignment horizontal="center" vertical="center" wrapText="1"/>
    </xf>
    <xf numFmtId="0" fontId="15" fillId="0" borderId="40" xfId="83" applyFont="1" applyBorder="1" applyAlignment="1">
      <alignment horizontal="center" vertical="center" wrapText="1"/>
    </xf>
    <xf numFmtId="0" fontId="16" fillId="0" borderId="40" xfId="83" applyFont="1" applyBorder="1" applyAlignment="1">
      <alignment horizontal="center" vertical="center" wrapText="1"/>
    </xf>
    <xf numFmtId="0" fontId="15" fillId="0" borderId="40" xfId="83" applyFont="1" applyFill="1" applyBorder="1" applyAlignment="1">
      <alignment horizontal="center" vertical="center" wrapText="1"/>
    </xf>
    <xf numFmtId="0" fontId="16" fillId="0" borderId="40" xfId="83" applyFont="1" applyFill="1" applyBorder="1" applyAlignment="1">
      <alignment horizontal="center" vertical="center" wrapText="1"/>
    </xf>
    <xf numFmtId="3" fontId="16" fillId="0" borderId="40" xfId="83" applyNumberFormat="1" applyFont="1" applyBorder="1" applyAlignment="1">
      <alignment horizontal="center" vertical="center" wrapText="1"/>
    </xf>
    <xf numFmtId="3" fontId="15" fillId="0" borderId="40" xfId="83" applyNumberFormat="1" applyFont="1" applyBorder="1" applyAlignment="1">
      <alignment horizontal="center" vertical="center" wrapText="1"/>
    </xf>
    <xf numFmtId="46" fontId="15" fillId="0" borderId="40" xfId="83" applyNumberFormat="1" applyFont="1" applyFill="1" applyBorder="1" applyAlignment="1">
      <alignment horizontal="center" vertical="center" wrapText="1"/>
    </xf>
    <xf numFmtId="0" fontId="15" fillId="30" borderId="40" xfId="83" applyFont="1" applyFill="1" applyBorder="1" applyAlignment="1">
      <alignment horizontal="center" vertical="center" wrapText="1"/>
    </xf>
    <xf numFmtId="0" fontId="16" fillId="30" borderId="40" xfId="83" applyFont="1" applyFill="1" applyBorder="1" applyAlignment="1">
      <alignment horizontal="center" vertical="center" wrapText="1"/>
    </xf>
    <xf numFmtId="0" fontId="15" fillId="0" borderId="41" xfId="83" applyFont="1" applyBorder="1" applyAlignment="1">
      <alignment horizontal="center" vertical="center" wrapText="1"/>
    </xf>
    <xf numFmtId="49" fontId="16" fillId="0" borderId="38" xfId="83" applyNumberFormat="1" applyFont="1" applyBorder="1" applyAlignment="1">
      <alignment horizontal="center" vertical="center" wrapText="1"/>
    </xf>
    <xf numFmtId="49" fontId="15" fillId="0" borderId="38" xfId="83" applyNumberFormat="1" applyFont="1" applyBorder="1" applyAlignment="1">
      <alignment horizontal="center" vertical="center" wrapText="1"/>
    </xf>
    <xf numFmtId="49" fontId="15" fillId="0" borderId="38" xfId="83" applyNumberFormat="1" applyFont="1" applyFill="1" applyBorder="1" applyAlignment="1">
      <alignment horizontal="center" vertical="center" wrapText="1"/>
    </xf>
    <xf numFmtId="49" fontId="16" fillId="0" borderId="38" xfId="83" applyNumberFormat="1" applyFont="1" applyFill="1" applyBorder="1" applyAlignment="1">
      <alignment horizontal="center" vertical="center" wrapText="1"/>
    </xf>
    <xf numFmtId="49" fontId="15" fillId="30" borderId="38" xfId="83" applyNumberFormat="1" applyFont="1" applyFill="1" applyBorder="1" applyAlignment="1">
      <alignment horizontal="center" vertical="center" wrapText="1"/>
    </xf>
    <xf numFmtId="49" fontId="16" fillId="30" borderId="38" xfId="83" applyNumberFormat="1" applyFont="1" applyFill="1" applyBorder="1" applyAlignment="1">
      <alignment horizontal="center" vertical="center" wrapText="1"/>
    </xf>
    <xf numFmtId="49" fontId="15" fillId="0" borderId="42" xfId="83" applyNumberFormat="1" applyFont="1" applyBorder="1" applyAlignment="1">
      <alignment horizontal="center" vertical="center" wrapText="1"/>
    </xf>
    <xf numFmtId="49" fontId="15" fillId="0" borderId="43" xfId="83" applyNumberFormat="1" applyFont="1" applyBorder="1" applyAlignment="1">
      <alignment horizontal="center" vertical="center" wrapText="1"/>
    </xf>
    <xf numFmtId="0" fontId="19" fillId="32" borderId="44" xfId="83" applyFont="1" applyFill="1" applyBorder="1" applyAlignment="1">
      <alignment horizontal="center" vertical="center" wrapText="1"/>
    </xf>
    <xf numFmtId="0" fontId="19" fillId="32" borderId="45" xfId="83" applyFont="1" applyFill="1" applyBorder="1" applyAlignment="1">
      <alignment horizontal="center" vertical="center" wrapText="1"/>
    </xf>
    <xf numFmtId="3" fontId="15" fillId="33" borderId="9" xfId="0" applyNumberFormat="1" applyFont="1" applyFill="1" applyBorder="1" applyAlignment="1">
      <alignment horizontal="center" vertical="center" wrapText="1"/>
    </xf>
    <xf numFmtId="49" fontId="16" fillId="34" borderId="38" xfId="83" applyNumberFormat="1" applyFont="1" applyFill="1" applyBorder="1" applyAlignment="1">
      <alignment horizontal="center" vertical="center" wrapText="1"/>
    </xf>
    <xf numFmtId="49" fontId="16" fillId="34" borderId="37" xfId="83" applyNumberFormat="1" applyFont="1" applyFill="1" applyBorder="1" applyAlignment="1">
      <alignment horizontal="center" vertical="center" wrapText="1"/>
    </xf>
    <xf numFmtId="43" fontId="9" fillId="0" borderId="38" xfId="83" applyNumberFormat="1" applyFont="1" applyFill="1" applyBorder="1" applyAlignment="1">
      <alignment vertical="center"/>
    </xf>
    <xf numFmtId="43" fontId="9" fillId="0" borderId="37" xfId="83" applyNumberFormat="1" applyFont="1" applyFill="1" applyBorder="1" applyAlignment="1">
      <alignment vertical="center"/>
    </xf>
    <xf numFmtId="43" fontId="9" fillId="0" borderId="46" xfId="83" applyNumberFormat="1" applyFont="1" applyFill="1" applyBorder="1" applyAlignment="1">
      <alignment vertical="center"/>
    </xf>
    <xf numFmtId="178" fontId="9" fillId="0" borderId="46" xfId="83" applyNumberFormat="1" applyFont="1" applyFill="1" applyBorder="1" applyAlignment="1">
      <alignment vertical="center"/>
    </xf>
    <xf numFmtId="43" fontId="23" fillId="0" borderId="37" xfId="83" applyNumberFormat="1" applyFont="1" applyFill="1" applyBorder="1" applyAlignment="1">
      <alignment vertical="center"/>
    </xf>
    <xf numFmtId="43" fontId="23" fillId="0" borderId="46" xfId="83" applyNumberFormat="1" applyFont="1" applyFill="1" applyBorder="1" applyAlignment="1">
      <alignment vertical="center"/>
    </xf>
    <xf numFmtId="178" fontId="23" fillId="0" borderId="46" xfId="83" applyNumberFormat="1" applyFont="1" applyFill="1" applyBorder="1" applyAlignment="1">
      <alignment vertical="center"/>
    </xf>
    <xf numFmtId="43" fontId="9" fillId="0" borderId="42" xfId="83" applyNumberFormat="1" applyFont="1" applyFill="1" applyBorder="1" applyAlignment="1">
      <alignment vertical="center"/>
    </xf>
    <xf numFmtId="43" fontId="9" fillId="0" borderId="43" xfId="83" applyNumberFormat="1" applyFont="1" applyFill="1" applyBorder="1" applyAlignment="1">
      <alignment vertical="center"/>
    </xf>
    <xf numFmtId="178" fontId="9" fillId="0" borderId="47" xfId="83" applyNumberFormat="1" applyFont="1" applyFill="1" applyBorder="1" applyAlignment="1">
      <alignment vertical="center"/>
    </xf>
    <xf numFmtId="4" fontId="15" fillId="0" borderId="48" xfId="83" applyNumberFormat="1" applyFont="1" applyFill="1" applyBorder="1" applyAlignment="1">
      <alignment vertical="center" wrapText="1"/>
    </xf>
    <xf numFmtId="0" fontId="19" fillId="0" borderId="48" xfId="83" applyFont="1" applyFill="1" applyBorder="1" applyAlignment="1">
      <alignment horizontal="center" vertical="center" wrapText="1"/>
    </xf>
    <xf numFmtId="0" fontId="24" fillId="35" borderId="40" xfId="83" applyFont="1" applyFill="1" applyBorder="1" applyAlignment="1">
      <alignment horizontal="center" vertical="center" wrapText="1"/>
    </xf>
    <xf numFmtId="4" fontId="22" fillId="0" borderId="48" xfId="83" applyNumberFormat="1" applyFont="1" applyFill="1" applyBorder="1" applyAlignment="1">
      <alignment vertical="center" wrapText="1"/>
    </xf>
    <xf numFmtId="0" fontId="22" fillId="0" borderId="0" xfId="83" applyFont="1" applyFill="1" applyBorder="1" applyAlignment="1">
      <alignment vertical="center"/>
    </xf>
    <xf numFmtId="49" fontId="15" fillId="0" borderId="49" xfId="83" applyNumberFormat="1" applyFont="1" applyFill="1" applyBorder="1" applyAlignment="1">
      <alignment horizontal="center" vertical="center" wrapText="1"/>
    </xf>
    <xf numFmtId="49" fontId="15" fillId="0" borderId="50" xfId="83" applyNumberFormat="1" applyFont="1" applyFill="1" applyBorder="1" applyAlignment="1">
      <alignment horizontal="center" vertical="center" wrapText="1"/>
    </xf>
    <xf numFmtId="0" fontId="15" fillId="0" borderId="50" xfId="83" applyFont="1" applyFill="1" applyBorder="1" applyAlignment="1">
      <alignment vertical="center" wrapText="1"/>
    </xf>
    <xf numFmtId="0" fontId="15" fillId="0" borderId="50" xfId="83" applyFont="1" applyFill="1" applyBorder="1" applyAlignment="1">
      <alignment horizontal="left" vertical="center" wrapText="1"/>
    </xf>
    <xf numFmtId="4" fontId="19" fillId="0" borderId="50" xfId="83" applyNumberFormat="1" applyFont="1" applyBorder="1" applyAlignment="1">
      <alignment vertical="center" wrapText="1"/>
    </xf>
    <xf numFmtId="4" fontId="15" fillId="0" borderId="51" xfId="83" applyNumberFormat="1" applyFont="1" applyBorder="1" applyAlignment="1">
      <alignment vertical="center" wrapText="1"/>
    </xf>
    <xf numFmtId="43" fontId="9" fillId="0" borderId="49" xfId="83" applyNumberFormat="1" applyFont="1" applyFill="1" applyBorder="1" applyAlignment="1">
      <alignment vertical="center"/>
    </xf>
    <xf numFmtId="43" fontId="9" fillId="0" borderId="50" xfId="83" applyNumberFormat="1" applyFont="1" applyFill="1" applyBorder="1" applyAlignment="1">
      <alignment vertical="center"/>
    </xf>
    <xf numFmtId="43" fontId="9" fillId="0" borderId="52" xfId="83" applyNumberFormat="1" applyFont="1" applyFill="1" applyBorder="1" applyAlignment="1">
      <alignment vertical="center"/>
    </xf>
    <xf numFmtId="178" fontId="9" fillId="0" borderId="52" xfId="83" applyNumberFormat="1" applyFont="1" applyFill="1" applyBorder="1" applyAlignment="1">
      <alignment vertical="center"/>
    </xf>
    <xf numFmtId="0" fontId="24" fillId="35" borderId="38" xfId="83" applyFont="1" applyFill="1" applyBorder="1" applyAlignment="1">
      <alignment horizontal="center" vertical="center" wrapText="1"/>
    </xf>
    <xf numFmtId="0" fontId="24" fillId="35" borderId="37" xfId="83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4" fontId="19" fillId="0" borderId="50" xfId="83" applyNumberFormat="1" applyFont="1" applyBorder="1" applyAlignment="1">
      <alignment horizontal="center" vertical="center" wrapText="1"/>
    </xf>
    <xf numFmtId="4" fontId="19" fillId="0" borderId="0" xfId="83" applyNumberFormat="1" applyFont="1" applyBorder="1" applyAlignment="1">
      <alignment horizontal="center" vertical="center" wrapText="1"/>
    </xf>
    <xf numFmtId="4" fontId="19" fillId="0" borderId="52" xfId="83" applyNumberFormat="1" applyFont="1" applyBorder="1" applyAlignment="1">
      <alignment horizontal="center" vertical="center" wrapText="1"/>
    </xf>
    <xf numFmtId="0" fontId="15" fillId="0" borderId="37" xfId="83" applyFont="1" applyFill="1" applyBorder="1" applyAlignment="1">
      <alignment horizontal="center" vertical="center" wrapText="1"/>
    </xf>
    <xf numFmtId="0" fontId="15" fillId="33" borderId="53" xfId="0" applyFont="1" applyFill="1" applyBorder="1" applyAlignment="1">
      <alignment horizontal="center" vertical="center" wrapText="1"/>
    </xf>
    <xf numFmtId="0" fontId="15" fillId="33" borderId="54" xfId="0" applyFont="1" applyFill="1" applyBorder="1" applyAlignment="1">
      <alignment horizontal="center" vertical="center" wrapText="1"/>
    </xf>
    <xf numFmtId="0" fontId="15" fillId="33" borderId="55" xfId="0" applyFont="1" applyFill="1" applyBorder="1" applyAlignment="1">
      <alignment horizontal="center" vertical="center" wrapText="1"/>
    </xf>
    <xf numFmtId="0" fontId="15" fillId="33" borderId="42" xfId="0" applyFont="1" applyFill="1" applyBorder="1" applyAlignment="1">
      <alignment horizontal="center" vertical="center" wrapText="1"/>
    </xf>
    <xf numFmtId="0" fontId="15" fillId="33" borderId="43" xfId="0" applyFont="1" applyFill="1" applyBorder="1" applyAlignment="1">
      <alignment horizontal="center" vertical="center" wrapText="1"/>
    </xf>
    <xf numFmtId="0" fontId="15" fillId="33" borderId="47" xfId="0" applyFont="1" applyFill="1" applyBorder="1" applyAlignment="1">
      <alignment horizontal="center" vertical="center" wrapText="1"/>
    </xf>
    <xf numFmtId="49" fontId="22" fillId="29" borderId="0" xfId="85" applyNumberFormat="1" applyFont="1" applyFill="1" applyAlignment="1">
      <alignment vertical="center"/>
    </xf>
    <xf numFmtId="174" fontId="22" fillId="29" borderId="0" xfId="72" applyNumberFormat="1" applyFont="1" applyFill="1" applyAlignment="1">
      <alignment vertical="center"/>
    </xf>
    <xf numFmtId="174" fontId="24" fillId="29" borderId="0" xfId="85" applyNumberFormat="1" applyFont="1" applyFill="1" applyAlignment="1">
      <alignment vertical="center"/>
    </xf>
    <xf numFmtId="176" fontId="24" fillId="29" borderId="0" xfId="91" applyNumberFormat="1" applyFont="1" applyFill="1" applyAlignment="1">
      <alignment vertical="center"/>
    </xf>
    <xf numFmtId="4" fontId="15" fillId="0" borderId="0" xfId="83" applyNumberFormat="1" applyFont="1" applyBorder="1" applyAlignment="1">
      <alignment wrapText="1"/>
    </xf>
    <xf numFmtId="0" fontId="15" fillId="0" borderId="57" xfId="0" applyFont="1" applyBorder="1" applyAlignment="1">
      <alignment horizontal="left" wrapText="1"/>
    </xf>
    <xf numFmtId="0" fontId="15" fillId="0" borderId="58" xfId="83" applyFont="1" applyBorder="1" applyAlignment="1">
      <alignment wrapText="1"/>
    </xf>
    <xf numFmtId="4" fontId="19" fillId="0" borderId="58" xfId="83" applyNumberFormat="1" applyFont="1" applyBorder="1" applyAlignment="1">
      <alignment horizontal="center" wrapText="1"/>
    </xf>
    <xf numFmtId="4" fontId="19" fillId="0" borderId="58" xfId="83" applyNumberFormat="1" applyFont="1" applyBorder="1" applyAlignment="1">
      <alignment wrapText="1"/>
    </xf>
    <xf numFmtId="4" fontId="19" fillId="0" borderId="59" xfId="83" applyNumberFormat="1" applyFont="1" applyBorder="1" applyAlignment="1">
      <alignment horizontal="center" wrapText="1"/>
    </xf>
    <xf numFmtId="0" fontId="15" fillId="0" borderId="38" xfId="0" applyFont="1" applyBorder="1" applyAlignment="1">
      <alignment horizontal="left" wrapText="1"/>
    </xf>
    <xf numFmtId="0" fontId="15" fillId="0" borderId="37" xfId="83" applyFont="1" applyBorder="1" applyAlignment="1">
      <alignment wrapText="1"/>
    </xf>
    <xf numFmtId="4" fontId="19" fillId="0" borderId="37" xfId="83" applyNumberFormat="1" applyFont="1" applyBorder="1" applyAlignment="1">
      <alignment horizontal="center" wrapText="1"/>
    </xf>
    <xf numFmtId="4" fontId="19" fillId="0" borderId="37" xfId="83" applyNumberFormat="1" applyFont="1" applyBorder="1" applyAlignment="1">
      <alignment wrapText="1"/>
    </xf>
    <xf numFmtId="4" fontId="19" fillId="0" borderId="46" xfId="83" applyNumberFormat="1" applyFont="1" applyBorder="1" applyAlignment="1">
      <alignment horizontal="center" wrapText="1"/>
    </xf>
    <xf numFmtId="0" fontId="15" fillId="0" borderId="42" xfId="0" applyFont="1" applyBorder="1" applyAlignment="1">
      <alignment horizontal="left" wrapText="1"/>
    </xf>
    <xf numFmtId="0" fontId="15" fillId="0" borderId="43" xfId="83" applyFont="1" applyBorder="1" applyAlignment="1">
      <alignment wrapText="1"/>
    </xf>
    <xf numFmtId="4" fontId="19" fillId="0" borderId="43" xfId="83" applyNumberFormat="1" applyFont="1" applyBorder="1" applyAlignment="1">
      <alignment horizontal="center" wrapText="1"/>
    </xf>
    <xf numFmtId="4" fontId="19" fillId="0" borderId="43" xfId="83" applyNumberFormat="1" applyFont="1" applyBorder="1" applyAlignment="1">
      <alignment wrapText="1"/>
    </xf>
    <xf numFmtId="4" fontId="19" fillId="0" borderId="47" xfId="83" applyNumberFormat="1" applyFont="1" applyBorder="1" applyAlignment="1">
      <alignment horizontal="center" wrapText="1"/>
    </xf>
    <xf numFmtId="43" fontId="9" fillId="0" borderId="58" xfId="83" applyNumberFormat="1" applyFont="1" applyFill="1" applyBorder="1" applyAlignment="1"/>
    <xf numFmtId="43" fontId="9" fillId="0" borderId="37" xfId="83" applyNumberFormat="1" applyFont="1" applyFill="1" applyBorder="1" applyAlignment="1"/>
    <xf numFmtId="43" fontId="9" fillId="0" borderId="43" xfId="83" applyNumberFormat="1" applyFont="1" applyFill="1" applyBorder="1" applyAlignment="1"/>
    <xf numFmtId="178" fontId="9" fillId="0" borderId="59" xfId="83" applyNumberFormat="1" applyFont="1" applyFill="1" applyBorder="1" applyAlignment="1"/>
    <xf numFmtId="178" fontId="9" fillId="0" borderId="46" xfId="83" applyNumberFormat="1" applyFont="1" applyFill="1" applyBorder="1" applyAlignment="1"/>
    <xf numFmtId="178" fontId="9" fillId="0" borderId="47" xfId="83" applyNumberFormat="1" applyFont="1" applyFill="1" applyBorder="1" applyAlignment="1"/>
    <xf numFmtId="168" fontId="15" fillId="28" borderId="9" xfId="0" applyNumberFormat="1" applyFont="1" applyFill="1" applyBorder="1" applyAlignment="1">
      <alignment horizontal="center" vertical="center" wrapText="1"/>
    </xf>
    <xf numFmtId="0" fontId="15" fillId="28" borderId="13" xfId="0" applyNumberFormat="1" applyFont="1" applyFill="1" applyBorder="1" applyAlignment="1">
      <alignment horizontal="center" vertical="center"/>
    </xf>
    <xf numFmtId="0" fontId="15" fillId="28" borderId="9" xfId="0" applyNumberFormat="1" applyFont="1" applyFill="1" applyBorder="1" applyAlignment="1">
      <alignment horizontal="center" vertical="center"/>
    </xf>
    <xf numFmtId="0" fontId="15" fillId="28" borderId="9" xfId="0" applyNumberFormat="1" applyFont="1" applyFill="1" applyBorder="1" applyAlignment="1">
      <alignment horizontal="center" vertical="center" wrapText="1"/>
    </xf>
    <xf numFmtId="0" fontId="9" fillId="0" borderId="60" xfId="95" applyFont="1" applyBorder="1" applyAlignment="1">
      <alignment horizontal="left" vertical="center" wrapText="1" indent="2"/>
    </xf>
    <xf numFmtId="166" fontId="9" fillId="0" borderId="61" xfId="0" applyNumberFormat="1" applyFont="1" applyBorder="1" applyAlignment="1">
      <alignment horizontal="center" vertical="center" wrapText="1"/>
    </xf>
    <xf numFmtId="0" fontId="23" fillId="0" borderId="35" xfId="95" applyFont="1" applyBorder="1" applyAlignment="1">
      <alignment vertical="center" wrapText="1"/>
    </xf>
    <xf numFmtId="166" fontId="23" fillId="0" borderId="35" xfId="0" applyNumberFormat="1" applyFont="1" applyBorder="1" applyAlignment="1">
      <alignment horizontal="center" vertical="center" wrapText="1"/>
    </xf>
    <xf numFmtId="0" fontId="22" fillId="29" borderId="0" xfId="85" applyFont="1" applyFill="1" applyAlignment="1">
      <alignment vertical="top"/>
    </xf>
    <xf numFmtId="173" fontId="23" fillId="29" borderId="62" xfId="47" applyFont="1" applyFill="1" applyBorder="1" applyAlignment="1">
      <alignment horizontal="left" vertical="top"/>
    </xf>
    <xf numFmtId="174" fontId="23" fillId="29" borderId="63" xfId="72" applyNumberFormat="1" applyFont="1" applyFill="1" applyBorder="1" applyAlignment="1">
      <alignment vertical="top"/>
    </xf>
    <xf numFmtId="174" fontId="23" fillId="29" borderId="63" xfId="75" applyNumberFormat="1" applyFont="1" applyFill="1" applyBorder="1" applyAlignment="1">
      <alignment horizontal="center" vertical="top"/>
    </xf>
    <xf numFmtId="176" fontId="23" fillId="29" borderId="64" xfId="91" applyNumberFormat="1" applyFont="1" applyFill="1" applyBorder="1" applyAlignment="1">
      <alignment horizontal="right" vertical="top"/>
    </xf>
    <xf numFmtId="0" fontId="24" fillId="29" borderId="0" xfId="85" applyFont="1" applyFill="1" applyAlignment="1">
      <alignment vertical="top"/>
    </xf>
    <xf numFmtId="49" fontId="23" fillId="29" borderId="65" xfId="47" applyNumberFormat="1" applyFont="1" applyFill="1" applyBorder="1" applyAlignment="1">
      <alignment horizontal="left" vertical="top"/>
    </xf>
    <xf numFmtId="49" fontId="23" fillId="29" borderId="0" xfId="47" applyNumberFormat="1" applyFont="1" applyFill="1" applyBorder="1" applyAlignment="1">
      <alignment horizontal="right" vertical="top"/>
    </xf>
    <xf numFmtId="43" fontId="23" fillId="29" borderId="66" xfId="72" applyNumberFormat="1" applyFont="1" applyFill="1" applyBorder="1" applyAlignment="1">
      <alignment vertical="top"/>
    </xf>
    <xf numFmtId="43" fontId="23" fillId="29" borderId="66" xfId="75" applyNumberFormat="1" applyFont="1" applyFill="1" applyBorder="1" applyAlignment="1">
      <alignment horizontal="center" vertical="top"/>
    </xf>
    <xf numFmtId="180" fontId="23" fillId="29" borderId="67" xfId="91" applyNumberFormat="1" applyFont="1" applyFill="1" applyBorder="1" applyAlignment="1">
      <alignment horizontal="right" vertical="top"/>
    </xf>
    <xf numFmtId="179" fontId="23" fillId="29" borderId="66" xfId="72" applyNumberFormat="1" applyFont="1" applyFill="1" applyBorder="1" applyAlignment="1">
      <alignment vertical="top"/>
    </xf>
    <xf numFmtId="49" fontId="9" fillId="29" borderId="65" xfId="47" applyNumberFormat="1" applyFont="1" applyFill="1" applyBorder="1" applyAlignment="1">
      <alignment horizontal="left" vertical="top"/>
    </xf>
    <xf numFmtId="49" fontId="9" fillId="29" borderId="0" xfId="47" applyNumberFormat="1" applyFont="1" applyFill="1" applyBorder="1" applyAlignment="1">
      <alignment horizontal="right" vertical="top"/>
    </xf>
    <xf numFmtId="49" fontId="9" fillId="29" borderId="0" xfId="47" applyNumberFormat="1" applyFont="1" applyFill="1" applyBorder="1" applyAlignment="1">
      <alignment horizontal="left" vertical="top"/>
    </xf>
    <xf numFmtId="49" fontId="9" fillId="29" borderId="48" xfId="47" applyNumberFormat="1" applyFont="1" applyFill="1" applyBorder="1" applyAlignment="1">
      <alignment horizontal="left" vertical="top"/>
    </xf>
    <xf numFmtId="43" fontId="9" fillId="29" borderId="66" xfId="72" applyNumberFormat="1" applyFont="1" applyFill="1" applyBorder="1" applyAlignment="1">
      <alignment vertical="top"/>
    </xf>
    <xf numFmtId="43" fontId="9" fillId="29" borderId="66" xfId="75" applyNumberFormat="1" applyFont="1" applyFill="1" applyBorder="1" applyAlignment="1">
      <alignment horizontal="center" vertical="top"/>
    </xf>
    <xf numFmtId="180" fontId="9" fillId="29" borderId="67" xfId="91" applyNumberFormat="1" applyFont="1" applyFill="1" applyBorder="1" applyAlignment="1">
      <alignment horizontal="right" vertical="top"/>
    </xf>
    <xf numFmtId="179" fontId="9" fillId="29" borderId="66" xfId="72" applyNumberFormat="1" applyFont="1" applyFill="1" applyBorder="1" applyAlignment="1">
      <alignment vertical="top"/>
    </xf>
    <xf numFmtId="49" fontId="9" fillId="0" borderId="65" xfId="47" applyNumberFormat="1" applyFont="1" applyFill="1" applyBorder="1" applyAlignment="1">
      <alignment horizontal="left" vertical="top"/>
    </xf>
    <xf numFmtId="49" fontId="9" fillId="0" borderId="0" xfId="47" applyNumberFormat="1" applyFont="1" applyFill="1" applyBorder="1" applyAlignment="1">
      <alignment horizontal="right" vertical="top"/>
    </xf>
    <xf numFmtId="49" fontId="9" fillId="0" borderId="0" xfId="47" applyNumberFormat="1" applyFont="1" applyFill="1" applyBorder="1" applyAlignment="1">
      <alignment horizontal="left" vertical="top"/>
    </xf>
    <xf numFmtId="49" fontId="47" fillId="0" borderId="0" xfId="47" applyNumberFormat="1" applyFont="1" applyFill="1" applyBorder="1" applyAlignment="1">
      <alignment horizontal="left" vertical="top"/>
    </xf>
    <xf numFmtId="43" fontId="47" fillId="0" borderId="48" xfId="63" applyNumberFormat="1" applyFont="1" applyFill="1" applyBorder="1" applyAlignment="1">
      <alignment horizontal="left" vertical="top"/>
    </xf>
    <xf numFmtId="0" fontId="22" fillId="0" borderId="0" xfId="85" applyFont="1" applyFill="1" applyAlignment="1">
      <alignment vertical="top"/>
    </xf>
    <xf numFmtId="179" fontId="9" fillId="0" borderId="66" xfId="72" applyNumberFormat="1" applyFont="1" applyFill="1" applyBorder="1" applyAlignment="1">
      <alignment vertical="top"/>
    </xf>
    <xf numFmtId="49" fontId="47" fillId="0" borderId="48" xfId="47" applyNumberFormat="1" applyFont="1" applyFill="1" applyBorder="1" applyAlignment="1">
      <alignment horizontal="left" vertical="top" wrapText="1"/>
    </xf>
    <xf numFmtId="180" fontId="9" fillId="0" borderId="67" xfId="91" applyNumberFormat="1" applyFont="1" applyFill="1" applyBorder="1" applyAlignment="1">
      <alignment horizontal="right" vertical="top"/>
    </xf>
    <xf numFmtId="49" fontId="47" fillId="29" borderId="0" xfId="47" applyNumberFormat="1" applyFont="1" applyFill="1" applyBorder="1" applyAlignment="1">
      <alignment horizontal="left" vertical="top"/>
    </xf>
    <xf numFmtId="180" fontId="47" fillId="29" borderId="67" xfId="91" applyNumberFormat="1" applyFont="1" applyFill="1" applyBorder="1" applyAlignment="1">
      <alignment horizontal="right" vertical="top"/>
    </xf>
    <xf numFmtId="49" fontId="23" fillId="29" borderId="65" xfId="85" applyNumberFormat="1" applyFont="1" applyFill="1" applyBorder="1" applyAlignment="1">
      <alignment horizontal="center" vertical="top"/>
    </xf>
    <xf numFmtId="49" fontId="23" fillId="34" borderId="31" xfId="85" applyNumberFormat="1" applyFont="1" applyFill="1" applyBorder="1" applyAlignment="1">
      <alignment horizontal="center" vertical="top"/>
    </xf>
    <xf numFmtId="49" fontId="23" fillId="34" borderId="32" xfId="47" applyNumberFormat="1" applyFont="1" applyFill="1" applyBorder="1" applyAlignment="1">
      <alignment horizontal="left" vertical="top"/>
    </xf>
    <xf numFmtId="49" fontId="23" fillId="34" borderId="33" xfId="47" applyNumberFormat="1" applyFont="1" applyFill="1" applyBorder="1" applyAlignment="1">
      <alignment horizontal="left" vertical="top"/>
    </xf>
    <xf numFmtId="43" fontId="23" fillId="34" borderId="35" xfId="72" applyNumberFormat="1" applyFont="1" applyFill="1" applyBorder="1" applyAlignment="1">
      <alignment vertical="top"/>
    </xf>
    <xf numFmtId="43" fontId="23" fillId="34" borderId="35" xfId="75" applyNumberFormat="1" applyFont="1" applyFill="1" applyBorder="1" applyAlignment="1">
      <alignment horizontal="center" vertical="top"/>
    </xf>
    <xf numFmtId="180" fontId="23" fillId="34" borderId="36" xfId="91" applyNumberFormat="1" applyFont="1" applyFill="1" applyBorder="1" applyAlignment="1">
      <alignment horizontal="right" vertical="top"/>
    </xf>
    <xf numFmtId="179" fontId="23" fillId="36" borderId="35" xfId="72" applyNumberFormat="1" applyFont="1" applyFill="1" applyBorder="1" applyAlignment="1">
      <alignment vertical="top"/>
    </xf>
    <xf numFmtId="49" fontId="9" fillId="29" borderId="65" xfId="85" applyNumberFormat="1" applyFont="1" applyFill="1" applyBorder="1" applyAlignment="1">
      <alignment horizontal="center" vertical="top"/>
    </xf>
    <xf numFmtId="49" fontId="9" fillId="29" borderId="0" xfId="85" applyNumberFormat="1" applyFont="1" applyFill="1" applyBorder="1" applyAlignment="1">
      <alignment horizontal="center" vertical="top"/>
    </xf>
    <xf numFmtId="49" fontId="9" fillId="29" borderId="0" xfId="85" applyNumberFormat="1" applyFont="1" applyFill="1" applyBorder="1" applyAlignment="1">
      <alignment horizontal="right" vertical="top"/>
    </xf>
    <xf numFmtId="49" fontId="9" fillId="29" borderId="0" xfId="85" applyNumberFormat="1" applyFont="1" applyFill="1" applyBorder="1" applyAlignment="1">
      <alignment horizontal="left" vertical="top"/>
    </xf>
    <xf numFmtId="49" fontId="23" fillId="29" borderId="0" xfId="47" applyNumberFormat="1" applyFont="1" applyFill="1" applyBorder="1" applyAlignment="1">
      <alignment horizontal="left" vertical="top"/>
    </xf>
    <xf numFmtId="49" fontId="48" fillId="29" borderId="0" xfId="47" applyNumberFormat="1" applyFont="1" applyFill="1" applyBorder="1" applyAlignment="1">
      <alignment horizontal="right" vertical="top"/>
    </xf>
    <xf numFmtId="49" fontId="9" fillId="29" borderId="0" xfId="85" applyNumberFormat="1" applyFont="1" applyFill="1" applyBorder="1" applyAlignment="1">
      <alignment vertical="top"/>
    </xf>
    <xf numFmtId="49" fontId="9" fillId="29" borderId="48" xfId="85" applyNumberFormat="1" applyFont="1" applyFill="1" applyBorder="1" applyAlignment="1">
      <alignment vertical="top"/>
    </xf>
    <xf numFmtId="49" fontId="23" fillId="29" borderId="0" xfId="85" applyNumberFormat="1" applyFont="1" applyFill="1" applyBorder="1" applyAlignment="1">
      <alignment vertical="top"/>
    </xf>
    <xf numFmtId="49" fontId="9" fillId="29" borderId="65" xfId="85" applyNumberFormat="1" applyFont="1" applyFill="1" applyBorder="1" applyAlignment="1">
      <alignment horizontal="left" vertical="top"/>
    </xf>
    <xf numFmtId="0" fontId="22" fillId="29" borderId="0" xfId="85" applyFont="1" applyFill="1" applyBorder="1" applyAlignment="1">
      <alignment vertical="top"/>
    </xf>
    <xf numFmtId="49" fontId="50" fillId="35" borderId="68" xfId="47" applyNumberFormat="1" applyFont="1" applyFill="1" applyBorder="1" applyAlignment="1">
      <alignment horizontal="left" vertical="top"/>
    </xf>
    <xf numFmtId="49" fontId="23" fillId="35" borderId="69" xfId="47" applyNumberFormat="1" applyFont="1" applyFill="1" applyBorder="1" applyAlignment="1">
      <alignment horizontal="left" vertical="top"/>
    </xf>
    <xf numFmtId="49" fontId="23" fillId="35" borderId="70" xfId="47" applyNumberFormat="1" applyFont="1" applyFill="1" applyBorder="1" applyAlignment="1">
      <alignment horizontal="left" vertical="top"/>
    </xf>
    <xf numFmtId="43" fontId="23" fillId="35" borderId="71" xfId="72" applyNumberFormat="1" applyFont="1" applyFill="1" applyBorder="1" applyAlignment="1">
      <alignment vertical="top"/>
    </xf>
    <xf numFmtId="43" fontId="23" fillId="35" borderId="71" xfId="75" applyNumberFormat="1" applyFont="1" applyFill="1" applyBorder="1" applyAlignment="1">
      <alignment horizontal="center" vertical="top"/>
    </xf>
    <xf numFmtId="180" fontId="23" fillId="35" borderId="72" xfId="91" applyNumberFormat="1" applyFont="1" applyFill="1" applyBorder="1" applyAlignment="1">
      <alignment horizontal="right" vertical="top"/>
    </xf>
    <xf numFmtId="0" fontId="24" fillId="29" borderId="0" xfId="85" applyFont="1" applyFill="1" applyBorder="1" applyAlignment="1">
      <alignment vertical="top"/>
    </xf>
    <xf numFmtId="179" fontId="23" fillId="37" borderId="71" xfId="72" applyNumberFormat="1" applyFont="1" applyFill="1" applyBorder="1" applyAlignment="1">
      <alignment vertical="top"/>
    </xf>
    <xf numFmtId="49" fontId="23" fillId="29" borderId="73" xfId="47" applyNumberFormat="1" applyFont="1" applyFill="1" applyBorder="1" applyAlignment="1">
      <alignment horizontal="left" vertical="top"/>
    </xf>
    <xf numFmtId="49" fontId="23" fillId="29" borderId="74" xfId="85" applyNumberFormat="1" applyFont="1" applyFill="1" applyBorder="1" applyAlignment="1">
      <alignment horizontal="center" vertical="top"/>
    </xf>
    <xf numFmtId="49" fontId="23" fillId="29" borderId="74" xfId="85" applyNumberFormat="1" applyFont="1" applyFill="1" applyBorder="1" applyAlignment="1">
      <alignment horizontal="left" vertical="top"/>
    </xf>
    <xf numFmtId="49" fontId="23" fillId="29" borderId="74" xfId="85" applyNumberFormat="1" applyFont="1" applyFill="1" applyBorder="1" applyAlignment="1">
      <alignment vertical="top"/>
    </xf>
    <xf numFmtId="49" fontId="23" fillId="29" borderId="75" xfId="85" applyNumberFormat="1" applyFont="1" applyFill="1" applyBorder="1" applyAlignment="1">
      <alignment vertical="top"/>
    </xf>
    <xf numFmtId="43" fontId="23" fillId="29" borderId="76" xfId="72" applyNumberFormat="1" applyFont="1" applyFill="1" applyBorder="1" applyAlignment="1">
      <alignment vertical="top"/>
    </xf>
    <xf numFmtId="43" fontId="23" fillId="29" borderId="76" xfId="75" applyNumberFormat="1" applyFont="1" applyFill="1" applyBorder="1" applyAlignment="1">
      <alignment horizontal="center" vertical="top"/>
    </xf>
    <xf numFmtId="180" fontId="23" fillId="29" borderId="77" xfId="91" applyNumberFormat="1" applyFont="1" applyFill="1" applyBorder="1" applyAlignment="1">
      <alignment horizontal="right" vertical="top"/>
    </xf>
    <xf numFmtId="179" fontId="23" fillId="29" borderId="76" xfId="72" applyNumberFormat="1" applyFont="1" applyFill="1" applyBorder="1" applyAlignment="1">
      <alignment vertical="top"/>
    </xf>
    <xf numFmtId="49" fontId="23" fillId="35" borderId="78" xfId="47" applyNumberFormat="1" applyFont="1" applyFill="1" applyBorder="1" applyAlignment="1">
      <alignment horizontal="left" vertical="top"/>
    </xf>
    <xf numFmtId="49" fontId="23" fillId="35" borderId="79" xfId="85" applyNumberFormat="1" applyFont="1" applyFill="1" applyBorder="1" applyAlignment="1">
      <alignment horizontal="left" vertical="top"/>
    </xf>
    <xf numFmtId="49" fontId="23" fillId="35" borderId="79" xfId="85" applyNumberFormat="1" applyFont="1" applyFill="1" applyBorder="1" applyAlignment="1">
      <alignment horizontal="center" vertical="top"/>
    </xf>
    <xf numFmtId="49" fontId="23" fillId="35" borderId="79" xfId="85" applyNumberFormat="1" applyFont="1" applyFill="1" applyBorder="1" applyAlignment="1">
      <alignment vertical="top"/>
    </xf>
    <xf numFmtId="49" fontId="23" fillId="35" borderId="80" xfId="85" applyNumberFormat="1" applyFont="1" applyFill="1" applyBorder="1" applyAlignment="1">
      <alignment vertical="top"/>
    </xf>
    <xf numFmtId="43" fontId="23" fillId="35" borderId="81" xfId="72" applyNumberFormat="1" applyFont="1" applyFill="1" applyBorder="1" applyAlignment="1">
      <alignment vertical="top"/>
    </xf>
    <xf numFmtId="43" fontId="23" fillId="35" borderId="81" xfId="75" applyNumberFormat="1" applyFont="1" applyFill="1" applyBorder="1" applyAlignment="1">
      <alignment horizontal="center" vertical="top"/>
    </xf>
    <xf numFmtId="180" fontId="23" fillId="35" borderId="82" xfId="91" applyNumberFormat="1" applyFont="1" applyFill="1" applyBorder="1" applyAlignment="1">
      <alignment horizontal="right" vertical="top"/>
    </xf>
    <xf numFmtId="4" fontId="23" fillId="29" borderId="29" xfId="71" applyNumberFormat="1" applyFont="1" applyFill="1" applyBorder="1" applyAlignment="1">
      <alignment horizontal="centerContinuous" vertical="center" wrapText="1"/>
    </xf>
    <xf numFmtId="43" fontId="9" fillId="0" borderId="0" xfId="95" applyNumberFormat="1" applyFont="1" applyAlignment="1">
      <alignment vertical="center"/>
    </xf>
    <xf numFmtId="0" fontId="15" fillId="33" borderId="98" xfId="0" applyFont="1" applyFill="1" applyBorder="1" applyAlignment="1">
      <alignment horizontal="center" vertical="center" wrapText="1"/>
    </xf>
    <xf numFmtId="1" fontId="9" fillId="0" borderId="11" xfId="95" applyNumberFormat="1" applyFont="1" applyBorder="1" applyAlignment="1">
      <alignment horizontal="center" vertical="center" wrapText="1"/>
    </xf>
    <xf numFmtId="0" fontId="41" fillId="29" borderId="100" xfId="85" applyFont="1" applyFill="1" applyBorder="1" applyAlignment="1">
      <alignment horizontal="centerContinuous" vertical="center"/>
    </xf>
    <xf numFmtId="0" fontId="41" fillId="29" borderId="101" xfId="85" applyFont="1" applyFill="1" applyBorder="1" applyAlignment="1">
      <alignment horizontal="centerContinuous" vertical="center"/>
    </xf>
    <xf numFmtId="0" fontId="23" fillId="29" borderId="78" xfId="85" applyFont="1" applyFill="1" applyBorder="1" applyAlignment="1">
      <alignment horizontal="centerContinuous" vertical="center"/>
    </xf>
    <xf numFmtId="0" fontId="23" fillId="29" borderId="79" xfId="85" applyFont="1" applyFill="1" applyBorder="1" applyAlignment="1">
      <alignment horizontal="centerContinuous" vertical="center"/>
    </xf>
    <xf numFmtId="0" fontId="22" fillId="29" borderId="79" xfId="85" applyFont="1" applyFill="1" applyBorder="1" applyAlignment="1">
      <alignment vertical="center"/>
    </xf>
    <xf numFmtId="0" fontId="41" fillId="29" borderId="25" xfId="85" applyFont="1" applyFill="1" applyBorder="1" applyAlignment="1">
      <alignment horizontal="centerContinuous" vertical="center"/>
    </xf>
    <xf numFmtId="4" fontId="23" fillId="29" borderId="104" xfId="71" applyNumberFormat="1" applyFont="1" applyFill="1" applyBorder="1" applyAlignment="1">
      <alignment horizontal="centerContinuous" vertical="center" wrapText="1"/>
    </xf>
    <xf numFmtId="1" fontId="23" fillId="29" borderId="105" xfId="71" applyNumberFormat="1" applyFont="1" applyFill="1" applyBorder="1" applyAlignment="1">
      <alignment horizontal="centerContinuous" vertical="top" wrapText="1"/>
    </xf>
    <xf numFmtId="174" fontId="23" fillId="29" borderId="106" xfId="72" applyNumberFormat="1" applyFont="1" applyFill="1" applyBorder="1" applyAlignment="1">
      <alignment vertical="top"/>
    </xf>
    <xf numFmtId="43" fontId="23" fillId="29" borderId="107" xfId="72" applyNumberFormat="1" applyFont="1" applyFill="1" applyBorder="1" applyAlignment="1">
      <alignment vertical="top"/>
    </xf>
    <xf numFmtId="43" fontId="9" fillId="29" borderId="107" xfId="72" applyNumberFormat="1" applyFont="1" applyFill="1" applyBorder="1" applyAlignment="1">
      <alignment vertical="top"/>
    </xf>
    <xf numFmtId="43" fontId="47" fillId="0" borderId="107" xfId="63" applyNumberFormat="1" applyFont="1" applyFill="1" applyBorder="1" applyAlignment="1">
      <alignment horizontal="left" vertical="top"/>
    </xf>
    <xf numFmtId="43" fontId="23" fillId="34" borderId="108" xfId="72" applyNumberFormat="1" applyFont="1" applyFill="1" applyBorder="1" applyAlignment="1">
      <alignment vertical="top"/>
    </xf>
    <xf numFmtId="43" fontId="23" fillId="35" borderId="109" xfId="72" applyNumberFormat="1" applyFont="1" applyFill="1" applyBorder="1" applyAlignment="1">
      <alignment vertical="top"/>
    </xf>
    <xf numFmtId="43" fontId="23" fillId="29" borderId="110" xfId="72" applyNumberFormat="1" applyFont="1" applyFill="1" applyBorder="1" applyAlignment="1">
      <alignment vertical="top"/>
    </xf>
    <xf numFmtId="43" fontId="23" fillId="35" borderId="111" xfId="72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49" fontId="15" fillId="40" borderId="38" xfId="83" applyNumberFormat="1" applyFont="1" applyFill="1" applyBorder="1" applyAlignment="1">
      <alignment horizontal="center" vertical="center" wrapText="1"/>
    </xf>
    <xf numFmtId="49" fontId="15" fillId="40" borderId="37" xfId="83" applyNumberFormat="1" applyFont="1" applyFill="1" applyBorder="1" applyAlignment="1">
      <alignment horizontal="center" vertical="center" wrapText="1"/>
    </xf>
    <xf numFmtId="49" fontId="16" fillId="40" borderId="37" xfId="83" applyNumberFormat="1" applyFont="1" applyFill="1" applyBorder="1" applyAlignment="1">
      <alignment horizontal="center" vertical="center" wrapText="1"/>
    </xf>
    <xf numFmtId="49" fontId="16" fillId="40" borderId="38" xfId="83" applyNumberFormat="1" applyFont="1" applyFill="1" applyBorder="1" applyAlignment="1">
      <alignment horizontal="center" vertical="center" wrapText="1"/>
    </xf>
    <xf numFmtId="43" fontId="22" fillId="0" borderId="38" xfId="83" applyNumberFormat="1" applyFont="1" applyFill="1" applyBorder="1" applyAlignment="1">
      <alignment vertical="center"/>
    </xf>
    <xf numFmtId="43" fontId="22" fillId="0" borderId="37" xfId="83" applyNumberFormat="1" applyFont="1" applyFill="1" applyBorder="1" applyAlignment="1">
      <alignment vertical="center"/>
    </xf>
    <xf numFmtId="43" fontId="22" fillId="0" borderId="46" xfId="83" applyNumberFormat="1" applyFont="1" applyFill="1" applyBorder="1" applyAlignment="1">
      <alignment vertical="center"/>
    </xf>
    <xf numFmtId="178" fontId="22" fillId="0" borderId="46" xfId="83" applyNumberFormat="1" applyFont="1" applyFill="1" applyBorder="1" applyAlignment="1">
      <alignment vertical="center"/>
    </xf>
    <xf numFmtId="49" fontId="15" fillId="53" borderId="38" xfId="83" applyNumberFormat="1" applyFont="1" applyFill="1" applyBorder="1" applyAlignment="1">
      <alignment horizontal="center" vertical="center" wrapText="1"/>
    </xf>
    <xf numFmtId="49" fontId="15" fillId="53" borderId="37" xfId="83" applyNumberFormat="1" applyFont="1" applyFill="1" applyBorder="1" applyAlignment="1">
      <alignment horizontal="center" vertical="center" wrapText="1"/>
    </xf>
    <xf numFmtId="49" fontId="16" fillId="53" borderId="38" xfId="83" applyNumberFormat="1" applyFont="1" applyFill="1" applyBorder="1" applyAlignment="1">
      <alignment horizontal="center" vertical="center" wrapText="1"/>
    </xf>
    <xf numFmtId="49" fontId="16" fillId="53" borderId="37" xfId="83" applyNumberFormat="1" applyFont="1" applyFill="1" applyBorder="1" applyAlignment="1">
      <alignment horizontal="center" vertical="center" wrapText="1"/>
    </xf>
    <xf numFmtId="43" fontId="9" fillId="54" borderId="37" xfId="83" applyNumberFormat="1" applyFont="1" applyFill="1" applyBorder="1" applyAlignment="1">
      <alignment vertical="center"/>
    </xf>
    <xf numFmtId="43" fontId="9" fillId="55" borderId="37" xfId="83" applyNumberFormat="1" applyFont="1" applyFill="1" applyBorder="1" applyAlignment="1">
      <alignment vertical="center"/>
    </xf>
    <xf numFmtId="43" fontId="9" fillId="55" borderId="46" xfId="83" applyNumberFormat="1" applyFont="1" applyFill="1" applyBorder="1" applyAlignment="1">
      <alignment vertical="center"/>
    </xf>
    <xf numFmtId="0" fontId="15" fillId="28" borderId="9" xfId="0" applyFont="1" applyFill="1" applyBorder="1" applyAlignment="1">
      <alignment horizontal="center" vertical="center" wrapText="1"/>
    </xf>
    <xf numFmtId="0" fontId="9" fillId="0" borderId="11" xfId="95" applyFont="1" applyBorder="1" applyAlignment="1">
      <alignment horizontal="center" vertical="center" wrapText="1"/>
    </xf>
    <xf numFmtId="182" fontId="9" fillId="0" borderId="38" xfId="83" applyNumberFormat="1" applyFont="1" applyFill="1" applyBorder="1" applyAlignment="1">
      <alignment vertical="center"/>
    </xf>
    <xf numFmtId="182" fontId="22" fillId="0" borderId="38" xfId="83" applyNumberFormat="1" applyFont="1" applyFill="1" applyBorder="1" applyAlignment="1">
      <alignment vertical="center"/>
    </xf>
    <xf numFmtId="182" fontId="23" fillId="0" borderId="38" xfId="83" applyNumberFormat="1" applyFont="1" applyFill="1" applyBorder="1" applyAlignment="1">
      <alignment vertical="center"/>
    </xf>
    <xf numFmtId="182" fontId="9" fillId="0" borderId="42" xfId="83" applyNumberFormat="1" applyFont="1" applyFill="1" applyBorder="1" applyAlignment="1">
      <alignment vertical="center"/>
    </xf>
    <xf numFmtId="182" fontId="9" fillId="0" borderId="57" xfId="83" applyNumberFormat="1" applyFont="1" applyFill="1" applyBorder="1" applyAlignment="1"/>
    <xf numFmtId="182" fontId="9" fillId="0" borderId="38" xfId="83" applyNumberFormat="1" applyFont="1" applyFill="1" applyBorder="1" applyAlignment="1"/>
    <xf numFmtId="182" fontId="9" fillId="0" borderId="42" xfId="83" applyNumberFormat="1" applyFont="1" applyFill="1" applyBorder="1" applyAlignment="1"/>
    <xf numFmtId="182" fontId="9" fillId="0" borderId="58" xfId="83" applyNumberFormat="1" applyFont="1" applyFill="1" applyBorder="1" applyAlignment="1"/>
    <xf numFmtId="182" fontId="9" fillId="0" borderId="59" xfId="83" applyNumberFormat="1" applyFont="1" applyFill="1" applyBorder="1" applyAlignment="1"/>
    <xf numFmtId="182" fontId="9" fillId="0" borderId="37" xfId="83" applyNumberFormat="1" applyFont="1" applyFill="1" applyBorder="1" applyAlignment="1"/>
    <xf numFmtId="182" fontId="9" fillId="0" borderId="46" xfId="83" applyNumberFormat="1" applyFont="1" applyFill="1" applyBorder="1" applyAlignment="1"/>
    <xf numFmtId="182" fontId="9" fillId="0" borderId="43" xfId="83" applyNumberFormat="1" applyFont="1" applyFill="1" applyBorder="1" applyAlignment="1"/>
    <xf numFmtId="182" fontId="9" fillId="0" borderId="47" xfId="83" applyNumberFormat="1" applyFont="1" applyFill="1" applyBorder="1" applyAlignment="1"/>
    <xf numFmtId="0" fontId="39" fillId="29" borderId="0" xfId="84" applyFont="1" applyFill="1" applyBorder="1" applyAlignment="1">
      <alignment vertical="center"/>
    </xf>
    <xf numFmtId="0" fontId="22" fillId="29" borderId="0" xfId="84" applyFont="1" applyFill="1" applyBorder="1"/>
    <xf numFmtId="0" fontId="22" fillId="29" borderId="0" xfId="85" applyFont="1" applyFill="1" applyBorder="1"/>
    <xf numFmtId="176" fontId="23" fillId="29" borderId="64" xfId="149" applyNumberFormat="1" applyFont="1" applyFill="1" applyBorder="1" applyAlignment="1">
      <alignment horizontal="right" vertical="top"/>
    </xf>
    <xf numFmtId="180" fontId="23" fillId="29" borderId="67" xfId="149" applyNumberFormat="1" applyFont="1" applyFill="1" applyBorder="1" applyAlignment="1">
      <alignment horizontal="right" vertical="top"/>
    </xf>
    <xf numFmtId="180" fontId="9" fillId="29" borderId="67" xfId="149" applyNumberFormat="1" applyFont="1" applyFill="1" applyBorder="1" applyAlignment="1">
      <alignment horizontal="right" vertical="top"/>
    </xf>
    <xf numFmtId="43" fontId="47" fillId="0" borderId="48" xfId="116" applyNumberFormat="1" applyFont="1" applyFill="1" applyBorder="1" applyAlignment="1">
      <alignment horizontal="left" vertical="top"/>
    </xf>
    <xf numFmtId="0" fontId="22" fillId="0" borderId="0" xfId="85" applyFont="1" applyFill="1" applyBorder="1" applyAlignment="1">
      <alignment vertical="top"/>
    </xf>
    <xf numFmtId="180" fontId="9" fillId="0" borderId="67" xfId="149" applyNumberFormat="1" applyFont="1" applyFill="1" applyBorder="1" applyAlignment="1">
      <alignment horizontal="right" vertical="top"/>
    </xf>
    <xf numFmtId="180" fontId="47" fillId="29" borderId="67" xfId="149" applyNumberFormat="1" applyFont="1" applyFill="1" applyBorder="1" applyAlignment="1">
      <alignment horizontal="right" vertical="top"/>
    </xf>
    <xf numFmtId="180" fontId="23" fillId="34" borderId="36" xfId="149" applyNumberFormat="1" applyFont="1" applyFill="1" applyBorder="1" applyAlignment="1">
      <alignment horizontal="right" vertical="top"/>
    </xf>
    <xf numFmtId="180" fontId="23" fillId="35" borderId="72" xfId="149" applyNumberFormat="1" applyFont="1" applyFill="1" applyBorder="1" applyAlignment="1">
      <alignment horizontal="right" vertical="top"/>
    </xf>
    <xf numFmtId="180" fontId="23" fillId="29" borderId="77" xfId="149" applyNumberFormat="1" applyFont="1" applyFill="1" applyBorder="1" applyAlignment="1">
      <alignment horizontal="right" vertical="top"/>
    </xf>
    <xf numFmtId="180" fontId="23" fillId="35" borderId="82" xfId="149" applyNumberFormat="1" applyFont="1" applyFill="1" applyBorder="1" applyAlignment="1">
      <alignment horizontal="right" vertical="top"/>
    </xf>
    <xf numFmtId="176" fontId="23" fillId="29" borderId="0" xfId="149" applyNumberFormat="1" applyFont="1" applyFill="1" applyAlignment="1">
      <alignment vertical="center"/>
    </xf>
    <xf numFmtId="0" fontId="22" fillId="29" borderId="0" xfId="85" applyFont="1" applyFill="1" applyBorder="1" applyAlignment="1">
      <alignment vertical="center"/>
    </xf>
    <xf numFmtId="176" fontId="24" fillId="29" borderId="0" xfId="149" applyNumberFormat="1" applyFont="1" applyFill="1" applyAlignment="1">
      <alignment vertical="center"/>
    </xf>
    <xf numFmtId="166" fontId="23" fillId="0" borderId="16" xfId="116" applyFont="1" applyFill="1" applyBorder="1" applyAlignment="1" applyProtection="1">
      <alignment horizontal="center" vertical="center" wrapText="1"/>
    </xf>
    <xf numFmtId="166" fontId="9" fillId="0" borderId="16" xfId="116" applyFont="1" applyFill="1" applyBorder="1" applyAlignment="1" applyProtection="1">
      <alignment horizontal="center" vertical="center" wrapText="1"/>
    </xf>
    <xf numFmtId="4" fontId="15" fillId="28" borderId="11" xfId="130" applyNumberFormat="1" applyFont="1" applyFill="1" applyBorder="1" applyAlignment="1" applyProtection="1">
      <alignment horizontal="center" vertical="center" wrapText="1"/>
    </xf>
    <xf numFmtId="172" fontId="15" fillId="0" borderId="13" xfId="130" applyNumberFormat="1" applyFont="1" applyFill="1" applyBorder="1" applyAlignment="1" applyProtection="1">
      <alignment vertical="center"/>
    </xf>
    <xf numFmtId="10" fontId="15" fillId="0" borderId="9" xfId="130" applyNumberFormat="1" applyFont="1" applyFill="1" applyBorder="1" applyAlignment="1" applyProtection="1">
      <alignment vertical="center"/>
    </xf>
    <xf numFmtId="10" fontId="15" fillId="0" borderId="13" xfId="130" applyNumberFormat="1" applyFont="1" applyFill="1" applyBorder="1" applyAlignment="1" applyProtection="1">
      <alignment vertical="center"/>
    </xf>
    <xf numFmtId="172" fontId="16" fillId="0" borderId="13" xfId="130" applyNumberFormat="1" applyFont="1" applyFill="1" applyBorder="1" applyAlignment="1" applyProtection="1">
      <alignment vertical="center"/>
    </xf>
    <xf numFmtId="10" fontId="16" fillId="0" borderId="13" xfId="130" applyNumberFormat="1" applyFont="1" applyFill="1" applyBorder="1" applyAlignment="1" applyProtection="1">
      <alignment vertical="center"/>
    </xf>
    <xf numFmtId="10" fontId="16" fillId="0" borderId="9" xfId="130" applyNumberFormat="1" applyFont="1" applyFill="1" applyBorder="1" applyAlignment="1" applyProtection="1">
      <alignment vertical="center"/>
    </xf>
    <xf numFmtId="43" fontId="9" fillId="55" borderId="38" xfId="83" applyNumberFormat="1" applyFont="1" applyFill="1" applyBorder="1" applyAlignment="1">
      <alignment vertical="center"/>
    </xf>
    <xf numFmtId="0" fontId="26" fillId="0" borderId="0" xfId="87" applyFont="1" applyFill="1" applyAlignment="1">
      <alignment horizontal="left" vertical="center"/>
    </xf>
    <xf numFmtId="0" fontId="25" fillId="0" borderId="0" xfId="87" applyFont="1" applyFill="1" applyAlignment="1">
      <alignment horizontal="center" vertical="center"/>
    </xf>
    <xf numFmtId="165" fontId="71" fillId="29" borderId="0" xfId="216" applyFont="1" applyFill="1" applyAlignment="1">
      <alignment vertical="center"/>
    </xf>
    <xf numFmtId="0" fontId="25" fillId="29" borderId="0" xfId="87" applyFont="1" applyFill="1" applyAlignment="1">
      <alignment vertical="center"/>
    </xf>
    <xf numFmtId="0" fontId="27" fillId="38" borderId="102" xfId="87" applyFont="1" applyFill="1" applyBorder="1" applyAlignment="1">
      <alignment horizontal="center" vertical="center"/>
    </xf>
    <xf numFmtId="0" fontId="27" fillId="38" borderId="103" xfId="87" applyFont="1" applyFill="1" applyBorder="1" applyAlignment="1">
      <alignment horizontal="center" vertical="center"/>
    </xf>
    <xf numFmtId="0" fontId="27" fillId="38" borderId="21" xfId="87" applyFont="1" applyFill="1" applyBorder="1" applyAlignment="1">
      <alignment horizontal="center" vertical="center"/>
    </xf>
    <xf numFmtId="0" fontId="72" fillId="39" borderId="0" xfId="87" applyFont="1" applyFill="1" applyAlignment="1">
      <alignment vertical="center"/>
    </xf>
    <xf numFmtId="0" fontId="27" fillId="38" borderId="78" xfId="87" applyFont="1" applyFill="1" applyBorder="1" applyAlignment="1">
      <alignment horizontal="center" vertical="center"/>
    </xf>
    <xf numFmtId="0" fontId="27" fillId="38" borderId="79" xfId="87" applyFont="1" applyFill="1" applyBorder="1" applyAlignment="1">
      <alignment horizontal="center" vertical="center"/>
    </xf>
    <xf numFmtId="0" fontId="27" fillId="38" borderId="25" xfId="87" applyFont="1" applyFill="1" applyBorder="1" applyAlignment="1">
      <alignment horizontal="center" vertical="center"/>
    </xf>
    <xf numFmtId="0" fontId="28" fillId="0" borderId="0" xfId="86" applyFont="1" applyFill="1" applyAlignment="1">
      <alignment horizontal="left" vertical="center"/>
    </xf>
    <xf numFmtId="0" fontId="27" fillId="0" borderId="0" xfId="87" applyFont="1" applyFill="1" applyAlignment="1">
      <alignment horizontal="left" vertical="center"/>
    </xf>
    <xf numFmtId="0" fontId="27" fillId="0" borderId="0" xfId="87" applyFont="1" applyFill="1" applyAlignment="1">
      <alignment horizontal="center" vertical="center" wrapText="1"/>
    </xf>
    <xf numFmtId="165" fontId="73" fillId="29" borderId="0" xfId="216" applyFont="1" applyFill="1" applyAlignment="1">
      <alignment horizontal="center" vertical="center" wrapText="1"/>
    </xf>
    <xf numFmtId="0" fontId="27" fillId="29" borderId="0" xfId="87" applyFont="1" applyFill="1" applyAlignment="1">
      <alignment horizontal="center" vertical="center" wrapText="1"/>
    </xf>
    <xf numFmtId="0" fontId="74" fillId="39" borderId="0" xfId="87" applyFont="1" applyFill="1" applyAlignment="1">
      <alignment vertical="center"/>
    </xf>
    <xf numFmtId="0" fontId="28" fillId="29" borderId="0" xfId="87" applyFont="1" applyFill="1" applyAlignment="1">
      <alignment vertical="center"/>
    </xf>
    <xf numFmtId="0" fontId="28" fillId="29" borderId="0" xfId="87" applyFont="1" applyFill="1" applyBorder="1" applyAlignment="1">
      <alignment horizontal="center" vertical="center"/>
    </xf>
    <xf numFmtId="165" fontId="71" fillId="29" borderId="0" xfId="216" applyFont="1" applyFill="1" applyAlignment="1">
      <alignment horizontal="center" vertical="center"/>
    </xf>
    <xf numFmtId="0" fontId="28" fillId="29" borderId="0" xfId="87" applyFont="1" applyFill="1" applyAlignment="1">
      <alignment horizontal="center" vertical="center"/>
    </xf>
    <xf numFmtId="0" fontId="26" fillId="56" borderId="124" xfId="87" applyFont="1" applyFill="1" applyBorder="1" applyAlignment="1">
      <alignment horizontal="left" vertical="center"/>
    </xf>
    <xf numFmtId="0" fontId="26" fillId="56" borderId="125" xfId="87" applyFont="1" applyFill="1" applyBorder="1" applyAlignment="1">
      <alignment horizontal="center" vertical="center"/>
    </xf>
    <xf numFmtId="165" fontId="73" fillId="38" borderId="125" xfId="216" applyFont="1" applyFill="1" applyBorder="1" applyAlignment="1">
      <alignment horizontal="center" vertical="center"/>
    </xf>
    <xf numFmtId="0" fontId="26" fillId="38" borderId="125" xfId="87" applyFont="1" applyFill="1" applyBorder="1" applyAlignment="1">
      <alignment horizontal="center" vertical="center"/>
    </xf>
    <xf numFmtId="0" fontId="26" fillId="38" borderId="126" xfId="87" applyFont="1" applyFill="1" applyBorder="1" applyAlignment="1">
      <alignment horizontal="center" vertical="center"/>
    </xf>
    <xf numFmtId="0" fontId="26" fillId="38" borderId="124" xfId="87" applyFont="1" applyFill="1" applyBorder="1" applyAlignment="1">
      <alignment horizontal="left" vertical="center"/>
    </xf>
    <xf numFmtId="0" fontId="28" fillId="0" borderId="102" xfId="87" applyFont="1" applyFill="1" applyBorder="1" applyAlignment="1">
      <alignment horizontal="center" vertical="center"/>
    </xf>
    <xf numFmtId="0" fontId="28" fillId="0" borderId="103" xfId="87" applyFont="1" applyFill="1" applyBorder="1" applyAlignment="1">
      <alignment horizontal="center" vertical="center"/>
    </xf>
    <xf numFmtId="165" fontId="71" fillId="29" borderId="103" xfId="216" applyFont="1" applyFill="1" applyBorder="1" applyAlignment="1">
      <alignment horizontal="center" vertical="center"/>
    </xf>
    <xf numFmtId="0" fontId="28" fillId="29" borderId="103" xfId="87" applyFont="1" applyFill="1" applyBorder="1" applyAlignment="1">
      <alignment horizontal="center" vertical="center"/>
    </xf>
    <xf numFmtId="0" fontId="28" fillId="29" borderId="21" xfId="87" applyFont="1" applyFill="1" applyBorder="1" applyAlignment="1">
      <alignment horizontal="center" vertical="center"/>
    </xf>
    <xf numFmtId="0" fontId="28" fillId="29" borderId="102" xfId="87" applyFont="1" applyFill="1" applyBorder="1" applyAlignment="1">
      <alignment horizontal="center" vertical="center"/>
    </xf>
    <xf numFmtId="0" fontId="28" fillId="0" borderId="65" xfId="87" applyFont="1" applyFill="1" applyBorder="1" applyAlignment="1">
      <alignment horizontal="center" vertical="center"/>
    </xf>
    <xf numFmtId="165" fontId="71" fillId="29" borderId="34" xfId="216" applyFont="1" applyFill="1" applyBorder="1" applyAlignment="1">
      <alignment horizontal="center" vertical="center"/>
    </xf>
    <xf numFmtId="0" fontId="28" fillId="29" borderId="34" xfId="87" applyFont="1" applyFill="1" applyBorder="1" applyAlignment="1">
      <alignment horizontal="center" vertical="center"/>
    </xf>
    <xf numFmtId="0" fontId="28" fillId="29" borderId="127" xfId="87" applyFont="1" applyFill="1" applyBorder="1" applyAlignment="1">
      <alignment horizontal="center" vertical="center"/>
    </xf>
    <xf numFmtId="0" fontId="28" fillId="29" borderId="65" xfId="87" applyFont="1" applyFill="1" applyBorder="1" applyAlignment="1">
      <alignment horizontal="left" vertical="center"/>
    </xf>
    <xf numFmtId="0" fontId="28" fillId="29" borderId="0" xfId="87" applyFont="1" applyFill="1" applyBorder="1" applyAlignment="1">
      <alignment horizontal="left" vertical="center"/>
    </xf>
    <xf numFmtId="165" fontId="71" fillId="29" borderId="0" xfId="216" applyFont="1" applyFill="1" applyBorder="1" applyAlignment="1">
      <alignment horizontal="center" vertical="center"/>
    </xf>
    <xf numFmtId="0" fontId="28" fillId="29" borderId="65" xfId="87" applyFont="1" applyFill="1" applyBorder="1" applyAlignment="1">
      <alignment horizontal="center" vertical="center"/>
    </xf>
    <xf numFmtId="0" fontId="28" fillId="29" borderId="0" xfId="87" applyFont="1" applyFill="1" applyBorder="1" applyAlignment="1">
      <alignment horizontal="right" vertical="center"/>
    </xf>
    <xf numFmtId="0" fontId="28" fillId="0" borderId="78" xfId="87" applyFont="1" applyFill="1" applyBorder="1" applyAlignment="1">
      <alignment horizontal="center" vertical="center"/>
    </xf>
    <xf numFmtId="0" fontId="28" fillId="0" borderId="79" xfId="87" applyFont="1" applyFill="1" applyBorder="1" applyAlignment="1">
      <alignment horizontal="center" vertical="center"/>
    </xf>
    <xf numFmtId="165" fontId="71" fillId="29" borderId="79" xfId="216" applyFont="1" applyFill="1" applyBorder="1" applyAlignment="1">
      <alignment horizontal="center" vertical="center"/>
    </xf>
    <xf numFmtId="0" fontId="28" fillId="29" borderId="79" xfId="87" applyFont="1" applyFill="1" applyBorder="1" applyAlignment="1">
      <alignment horizontal="center" vertical="center"/>
    </xf>
    <xf numFmtId="0" fontId="28" fillId="29" borderId="25" xfId="87" applyFont="1" applyFill="1" applyBorder="1" applyAlignment="1">
      <alignment horizontal="center" vertical="center"/>
    </xf>
    <xf numFmtId="0" fontId="28" fillId="29" borderId="78" xfId="87" applyFont="1" applyFill="1" applyBorder="1" applyAlignment="1">
      <alignment horizontal="center" vertical="center"/>
    </xf>
    <xf numFmtId="0" fontId="25" fillId="29" borderId="102" xfId="87" applyFont="1" applyFill="1" applyBorder="1" applyAlignment="1">
      <alignment vertical="center"/>
    </xf>
    <xf numFmtId="0" fontId="26" fillId="0" borderId="103" xfId="87" applyFont="1" applyFill="1" applyBorder="1" applyAlignment="1">
      <alignment horizontal="center" vertical="center"/>
    </xf>
    <xf numFmtId="165" fontId="73" fillId="29" borderId="103" xfId="216" applyFont="1" applyFill="1" applyBorder="1" applyAlignment="1">
      <alignment horizontal="center" vertical="center"/>
    </xf>
    <xf numFmtId="0" fontId="26" fillId="29" borderId="103" xfId="87" applyFont="1" applyFill="1" applyBorder="1" applyAlignment="1">
      <alignment horizontal="center" vertical="center"/>
    </xf>
    <xf numFmtId="0" fontId="26" fillId="29" borderId="21" xfId="87" applyFont="1" applyFill="1" applyBorder="1" applyAlignment="1">
      <alignment horizontal="center" vertical="center"/>
    </xf>
    <xf numFmtId="0" fontId="25" fillId="29" borderId="65" xfId="87" applyFont="1" applyFill="1" applyBorder="1" applyAlignment="1">
      <alignment vertical="center"/>
    </xf>
    <xf numFmtId="0" fontId="28" fillId="29" borderId="0" xfId="87" applyFont="1" applyFill="1" applyBorder="1" applyAlignment="1">
      <alignment vertical="center"/>
    </xf>
    <xf numFmtId="0" fontId="25" fillId="29" borderId="78" xfId="87" applyFont="1" applyFill="1" applyBorder="1" applyAlignment="1">
      <alignment vertical="center"/>
    </xf>
    <xf numFmtId="0" fontId="26" fillId="29" borderId="0" xfId="87" applyFont="1" applyFill="1" applyBorder="1" applyAlignment="1">
      <alignment horizontal="center" vertical="center" wrapText="1"/>
    </xf>
    <xf numFmtId="0" fontId="26" fillId="0" borderId="0" xfId="87" applyFont="1" applyFill="1" applyBorder="1" applyAlignment="1">
      <alignment horizontal="center" vertical="center" wrapText="1"/>
    </xf>
    <xf numFmtId="0" fontId="25" fillId="29" borderId="0" xfId="87" applyFont="1" applyFill="1" applyAlignment="1">
      <alignment vertical="center" wrapText="1"/>
    </xf>
    <xf numFmtId="0" fontId="75" fillId="29" borderId="0" xfId="87" applyFont="1" applyFill="1" applyBorder="1" applyAlignment="1">
      <alignment horizontal="center" vertical="center" wrapText="1"/>
    </xf>
    <xf numFmtId="0" fontId="72" fillId="39" borderId="0" xfId="87" applyFont="1" applyFill="1" applyAlignment="1">
      <alignment vertical="center" wrapText="1"/>
    </xf>
    <xf numFmtId="0" fontId="25" fillId="39" borderId="0" xfId="87" applyFont="1" applyFill="1" applyAlignment="1">
      <alignment vertical="center" wrapText="1"/>
    </xf>
    <xf numFmtId="0" fontId="29" fillId="0" borderId="102" xfId="217" applyFont="1" applyFill="1" applyBorder="1" applyAlignment="1" applyProtection="1">
      <alignment horizontal="center" vertical="center" wrapText="1"/>
    </xf>
    <xf numFmtId="0" fontId="29" fillId="0" borderId="124" xfId="217" applyFont="1" applyFill="1" applyBorder="1" applyAlignment="1" applyProtection="1">
      <alignment vertical="center" wrapText="1"/>
    </xf>
    <xf numFmtId="165" fontId="73" fillId="39" borderId="128" xfId="216" applyFont="1" applyFill="1" applyBorder="1" applyAlignment="1" applyProtection="1">
      <alignment horizontal="center" vertical="center"/>
    </xf>
    <xf numFmtId="0" fontId="29" fillId="39" borderId="0" xfId="217" applyFont="1" applyFill="1" applyBorder="1" applyAlignment="1" applyProtection="1">
      <alignment vertical="center" wrapText="1"/>
    </xf>
    <xf numFmtId="0" fontId="25" fillId="29" borderId="0" xfId="87" applyFont="1" applyFill="1" applyBorder="1" applyAlignment="1">
      <alignment vertical="center" wrapText="1"/>
    </xf>
    <xf numFmtId="0" fontId="29" fillId="39" borderId="0" xfId="217" applyFont="1" applyFill="1" applyBorder="1" applyAlignment="1" applyProtection="1">
      <alignment vertical="center"/>
    </xf>
    <xf numFmtId="0" fontId="30" fillId="0" borderId="26" xfId="217" applyFont="1" applyFill="1" applyBorder="1" applyAlignment="1" applyProtection="1">
      <alignment horizontal="center" vertical="center" wrapText="1"/>
    </xf>
    <xf numFmtId="0" fontId="31" fillId="0" borderId="26" xfId="217" applyFont="1" applyFill="1" applyBorder="1" applyAlignment="1" applyProtection="1">
      <alignment vertical="center" wrapText="1"/>
    </xf>
    <xf numFmtId="165" fontId="76" fillId="0" borderId="129" xfId="216" applyFont="1" applyBorder="1" applyAlignment="1">
      <alignment horizontal="right" vertical="center" wrapText="1"/>
    </xf>
    <xf numFmtId="0" fontId="77" fillId="39" borderId="0" xfId="87" applyFont="1" applyFill="1" applyAlignment="1">
      <alignment vertical="center" wrapText="1"/>
    </xf>
    <xf numFmtId="0" fontId="31" fillId="39" borderId="0" xfId="87" applyFont="1" applyFill="1" applyAlignment="1">
      <alignment vertical="center" wrapText="1"/>
    </xf>
    <xf numFmtId="0" fontId="31" fillId="0" borderId="0" xfId="87" applyFont="1" applyFill="1" applyAlignment="1">
      <alignment vertical="center" wrapText="1"/>
    </xf>
    <xf numFmtId="0" fontId="29" fillId="0" borderId="31" xfId="217" applyFont="1" applyFill="1" applyBorder="1" applyAlignment="1" applyProtection="1">
      <alignment horizontal="center" vertical="center" wrapText="1"/>
    </xf>
    <xf numFmtId="0" fontId="29" fillId="0" borderId="31" xfId="217" applyFont="1" applyFill="1" applyBorder="1" applyAlignment="1" applyProtection="1">
      <alignment horizontal="left" vertical="center" wrapText="1"/>
    </xf>
    <xf numFmtId="165" fontId="76" fillId="0" borderId="108" xfId="216" applyFont="1" applyBorder="1" applyAlignment="1">
      <alignment horizontal="right" vertical="center" wrapText="1"/>
    </xf>
    <xf numFmtId="0" fontId="78" fillId="39" borderId="0" xfId="87" applyFont="1" applyFill="1" applyAlignment="1">
      <alignment vertical="center" wrapText="1"/>
    </xf>
    <xf numFmtId="0" fontId="26" fillId="39" borderId="0" xfId="87" applyFont="1" applyFill="1" applyAlignment="1">
      <alignment vertical="center" wrapText="1"/>
    </xf>
    <xf numFmtId="0" fontId="26" fillId="0" borderId="0" xfId="87" applyFont="1" applyFill="1" applyAlignment="1">
      <alignment vertical="center" wrapText="1"/>
    </xf>
    <xf numFmtId="0" fontId="34" fillId="0" borderId="31" xfId="217" applyFont="1" applyFill="1" applyBorder="1" applyAlignment="1" applyProtection="1">
      <alignment horizontal="center" vertical="center" wrapText="1"/>
    </xf>
    <xf numFmtId="0" fontId="34" fillId="0" borderId="31" xfId="217" applyFont="1" applyFill="1" applyBorder="1" applyAlignment="1" applyProtection="1">
      <alignment horizontal="left" vertical="center" wrapText="1"/>
    </xf>
    <xf numFmtId="0" fontId="79" fillId="39" borderId="0" xfId="87" applyFont="1" applyFill="1" applyAlignment="1">
      <alignment vertical="center" wrapText="1"/>
    </xf>
    <xf numFmtId="0" fontId="33" fillId="0" borderId="0" xfId="87" applyFont="1" applyFill="1" applyAlignment="1">
      <alignment vertical="center" wrapText="1"/>
    </xf>
    <xf numFmtId="0" fontId="32" fillId="0" borderId="31" xfId="217" applyFont="1" applyFill="1" applyBorder="1" applyAlignment="1" applyProtection="1">
      <alignment horizontal="center" vertical="center" wrapText="1"/>
    </xf>
    <xf numFmtId="0" fontId="32" fillId="0" borderId="31" xfId="217" applyFont="1" applyFill="1" applyBorder="1" applyAlignment="1" applyProtection="1">
      <alignment horizontal="left" vertical="center" wrapText="1"/>
    </xf>
    <xf numFmtId="0" fontId="25" fillId="0" borderId="0" xfId="87" applyFont="1" applyFill="1" applyAlignment="1">
      <alignment vertical="center" wrapText="1"/>
    </xf>
    <xf numFmtId="0" fontId="28" fillId="0" borderId="31" xfId="217" applyFont="1" applyFill="1" applyBorder="1" applyAlignment="1" applyProtection="1">
      <alignment horizontal="center" vertical="center" wrapText="1"/>
    </xf>
    <xf numFmtId="0" fontId="28" fillId="0" borderId="31" xfId="217" applyFont="1" applyFill="1" applyBorder="1" applyAlignment="1" applyProtection="1">
      <alignment horizontal="left" vertical="center" wrapText="1"/>
    </xf>
    <xf numFmtId="0" fontId="28" fillId="39" borderId="31" xfId="217" applyFont="1" applyFill="1" applyBorder="1" applyAlignment="1" applyProtection="1">
      <alignment horizontal="center" vertical="center" wrapText="1"/>
    </xf>
    <xf numFmtId="0" fontId="28" fillId="39" borderId="31" xfId="217" applyFont="1" applyFill="1" applyBorder="1" applyAlignment="1" applyProtection="1">
      <alignment horizontal="left" vertical="center" wrapText="1"/>
    </xf>
    <xf numFmtId="0" fontId="28" fillId="39" borderId="108" xfId="217" applyFont="1" applyFill="1" applyBorder="1" applyAlignment="1" applyProtection="1">
      <alignment horizontal="center" vertical="center" wrapText="1"/>
    </xf>
    <xf numFmtId="0" fontId="72" fillId="39" borderId="0" xfId="87" applyFont="1" applyFill="1" applyAlignment="1">
      <alignment horizontal="left" vertical="center" wrapText="1"/>
    </xf>
    <xf numFmtId="0" fontId="25" fillId="39" borderId="0" xfId="87" applyFont="1" applyFill="1" applyAlignment="1">
      <alignment horizontal="left" vertical="center" wrapText="1"/>
    </xf>
    <xf numFmtId="0" fontId="28" fillId="0" borderId="108" xfId="217" applyFont="1" applyFill="1" applyBorder="1" applyAlignment="1" applyProtection="1">
      <alignment horizontal="center" vertical="center" wrapText="1"/>
    </xf>
    <xf numFmtId="0" fontId="72" fillId="0" borderId="0" xfId="87" applyFont="1" applyFill="1" applyAlignment="1">
      <alignment vertical="center" wrapText="1"/>
    </xf>
    <xf numFmtId="0" fontId="26" fillId="0" borderId="31" xfId="217" applyFont="1" applyFill="1" applyBorder="1" applyAlignment="1" applyProtection="1">
      <alignment horizontal="left" vertical="center" wrapText="1"/>
    </xf>
    <xf numFmtId="165" fontId="76" fillId="0" borderId="108" xfId="216" applyFont="1" applyFill="1" applyBorder="1" applyAlignment="1">
      <alignment horizontal="right" vertical="center" wrapText="1"/>
    </xf>
    <xf numFmtId="0" fontId="32" fillId="57" borderId="31" xfId="217" applyFont="1" applyFill="1" applyBorder="1" applyAlignment="1" applyProtection="1">
      <alignment horizontal="center" vertical="center" wrapText="1"/>
    </xf>
    <xf numFmtId="0" fontId="32" fillId="57" borderId="31" xfId="217" applyFont="1" applyFill="1" applyBorder="1" applyAlignment="1" applyProtection="1">
      <alignment horizontal="left" vertical="center" wrapText="1"/>
    </xf>
    <xf numFmtId="165" fontId="76" fillId="57" borderId="108" xfId="216" applyFont="1" applyFill="1" applyBorder="1" applyAlignment="1">
      <alignment horizontal="right" vertical="center" wrapText="1"/>
    </xf>
    <xf numFmtId="0" fontId="78" fillId="0" borderId="0" xfId="87" applyFont="1" applyFill="1" applyAlignment="1">
      <alignment vertical="center" wrapText="1"/>
    </xf>
    <xf numFmtId="0" fontId="36" fillId="0" borderId="31" xfId="217" applyFont="1" applyFill="1" applyBorder="1" applyAlignment="1" applyProtection="1">
      <alignment horizontal="center" vertical="center" wrapText="1"/>
    </xf>
    <xf numFmtId="0" fontId="36" fillId="0" borderId="31" xfId="217" applyFont="1" applyFill="1" applyBorder="1" applyAlignment="1" applyProtection="1">
      <alignment horizontal="left" vertical="center" wrapText="1"/>
    </xf>
    <xf numFmtId="0" fontId="32" fillId="39" borderId="31" xfId="217" applyFont="1" applyFill="1" applyBorder="1" applyAlignment="1" applyProtection="1">
      <alignment horizontal="center" vertical="center" wrapText="1"/>
    </xf>
    <xf numFmtId="0" fontId="32" fillId="39" borderId="31" xfId="217" applyFont="1" applyFill="1" applyBorder="1" applyAlignment="1" applyProtection="1">
      <alignment horizontal="left" vertical="center" wrapText="1"/>
    </xf>
    <xf numFmtId="0" fontId="32" fillId="39" borderId="130" xfId="217" applyFont="1" applyFill="1" applyBorder="1" applyAlignment="1" applyProtection="1">
      <alignment horizontal="left" vertical="center" wrapText="1"/>
    </xf>
    <xf numFmtId="0" fontId="28" fillId="39" borderId="0" xfId="217" applyFont="1" applyFill="1" applyAlignment="1">
      <alignment vertical="center"/>
    </xf>
    <xf numFmtId="0" fontId="28" fillId="39" borderId="0" xfId="217" applyFont="1" applyFill="1" applyBorder="1" applyAlignment="1">
      <alignment vertical="center"/>
    </xf>
    <xf numFmtId="0" fontId="28" fillId="39" borderId="0" xfId="87" applyFont="1" applyFill="1" applyBorder="1" applyAlignment="1">
      <alignment horizontal="center" vertical="center"/>
    </xf>
    <xf numFmtId="0" fontId="28" fillId="39" borderId="0" xfId="87" applyFont="1" applyFill="1" applyBorder="1" applyAlignment="1">
      <alignment vertical="center"/>
    </xf>
    <xf numFmtId="0" fontId="25" fillId="39" borderId="0" xfId="87" applyFont="1" applyFill="1" applyBorder="1" applyAlignment="1">
      <alignment vertical="center"/>
    </xf>
    <xf numFmtId="0" fontId="25" fillId="29" borderId="0" xfId="87" applyFont="1" applyFill="1" applyAlignment="1">
      <alignment horizontal="center" vertical="center"/>
    </xf>
    <xf numFmtId="0" fontId="29" fillId="0" borderId="131" xfId="217" applyFont="1" applyFill="1" applyBorder="1" applyAlignment="1" applyProtection="1">
      <alignment horizontal="center" vertical="center" wrapText="1"/>
    </xf>
    <xf numFmtId="0" fontId="29" fillId="0" borderId="131" xfId="217" applyFont="1" applyFill="1" applyBorder="1" applyAlignment="1" applyProtection="1">
      <alignment horizontal="left" vertical="center" wrapText="1"/>
    </xf>
    <xf numFmtId="165" fontId="76" fillId="0" borderId="132" xfId="216" applyFont="1" applyBorder="1" applyAlignment="1">
      <alignment horizontal="right" vertical="center" wrapText="1"/>
    </xf>
    <xf numFmtId="0" fontId="28" fillId="0" borderId="0" xfId="217" applyFont="1" applyFill="1" applyAlignment="1">
      <alignment horizontal="center" vertical="center"/>
    </xf>
    <xf numFmtId="0" fontId="28" fillId="0" borderId="0" xfId="217" applyFont="1" applyFill="1" applyAlignment="1">
      <alignment vertical="center"/>
    </xf>
    <xf numFmtId="165" fontId="71" fillId="39" borderId="0" xfId="216" applyFont="1" applyFill="1" applyAlignment="1">
      <alignment vertical="center"/>
    </xf>
    <xf numFmtId="0" fontId="74" fillId="39" borderId="0" xfId="217" applyFont="1" applyFill="1" applyAlignment="1">
      <alignment vertical="center"/>
    </xf>
    <xf numFmtId="0" fontId="28" fillId="39" borderId="0" xfId="87" applyFont="1" applyFill="1" applyBorder="1" applyAlignment="1">
      <alignment horizontal="right" vertical="center"/>
    </xf>
    <xf numFmtId="0" fontId="28" fillId="0" borderId="0" xfId="217" applyFont="1" applyFill="1" applyBorder="1" applyAlignment="1">
      <alignment vertical="center"/>
    </xf>
    <xf numFmtId="165" fontId="71" fillId="39" borderId="0" xfId="216" applyFont="1" applyFill="1" applyBorder="1" applyAlignment="1">
      <alignment vertical="center"/>
    </xf>
    <xf numFmtId="0" fontId="74" fillId="39" borderId="0" xfId="217" applyFont="1" applyFill="1" applyBorder="1" applyAlignment="1">
      <alignment vertical="center"/>
    </xf>
    <xf numFmtId="165" fontId="71" fillId="39" borderId="0" xfId="216" applyFont="1" applyFill="1" applyBorder="1" applyAlignment="1">
      <alignment horizontal="center" vertical="center"/>
    </xf>
    <xf numFmtId="0" fontId="74" fillId="39" borderId="0" xfId="87" applyFont="1" applyFill="1" applyBorder="1" applyAlignment="1">
      <alignment horizontal="center" vertical="center"/>
    </xf>
    <xf numFmtId="0" fontId="25" fillId="39" borderId="0" xfId="87" applyFont="1" applyFill="1" applyAlignment="1">
      <alignment vertical="center"/>
    </xf>
    <xf numFmtId="0" fontId="25" fillId="29" borderId="0" xfId="87" applyFont="1" applyFill="1" applyBorder="1" applyAlignment="1">
      <alignment vertical="center"/>
    </xf>
    <xf numFmtId="49" fontId="28" fillId="0" borderId="34" xfId="87" applyNumberFormat="1" applyFont="1" applyFill="1" applyBorder="1" applyAlignment="1">
      <alignment horizontal="center" vertical="center"/>
    </xf>
    <xf numFmtId="165" fontId="76" fillId="58" borderId="108" xfId="216" applyFont="1" applyFill="1" applyBorder="1" applyAlignment="1">
      <alignment horizontal="right" vertical="center" wrapText="1"/>
    </xf>
    <xf numFmtId="0" fontId="28" fillId="39" borderId="0" xfId="217" applyFont="1" applyFill="1" applyAlignment="1">
      <alignment vertical="top"/>
    </xf>
    <xf numFmtId="0" fontId="28" fillId="0" borderId="0" xfId="87" applyFont="1" applyFill="1" applyBorder="1" applyAlignment="1">
      <alignment horizontal="left" vertical="top"/>
    </xf>
    <xf numFmtId="0" fontId="28" fillId="0" borderId="0" xfId="87" applyFont="1" applyFill="1" applyBorder="1" applyAlignment="1">
      <alignment horizontal="center" vertical="top"/>
    </xf>
    <xf numFmtId="165" fontId="71" fillId="39" borderId="0" xfId="216" applyFont="1" applyFill="1" applyBorder="1" applyAlignment="1">
      <alignment horizontal="center" vertical="top"/>
    </xf>
    <xf numFmtId="0" fontId="28" fillId="39" borderId="0" xfId="87" applyFont="1" applyFill="1" applyBorder="1" applyAlignment="1">
      <alignment horizontal="center" vertical="top"/>
    </xf>
    <xf numFmtId="0" fontId="25" fillId="29" borderId="0" xfId="87" applyFont="1" applyFill="1" applyAlignment="1">
      <alignment horizontal="center" vertical="top"/>
    </xf>
    <xf numFmtId="0" fontId="74" fillId="39" borderId="0" xfId="87" applyFont="1" applyFill="1" applyBorder="1" applyAlignment="1">
      <alignment horizontal="center" vertical="top"/>
    </xf>
    <xf numFmtId="0" fontId="25" fillId="0" borderId="0" xfId="87" applyFont="1" applyFill="1" applyAlignment="1">
      <alignment vertical="top"/>
    </xf>
    <xf numFmtId="0" fontId="25" fillId="29" borderId="0" xfId="87" applyFont="1" applyFill="1" applyAlignment="1">
      <alignment vertical="top"/>
    </xf>
    <xf numFmtId="0" fontId="25" fillId="0" borderId="0" xfId="87" applyFont="1" applyFill="1" applyAlignment="1">
      <alignment horizontal="center" vertical="top"/>
    </xf>
    <xf numFmtId="165" fontId="71" fillId="29" borderId="0" xfId="216" applyFont="1" applyFill="1" applyAlignment="1">
      <alignment horizontal="center" vertical="top"/>
    </xf>
    <xf numFmtId="0" fontId="28" fillId="39" borderId="0" xfId="87" applyFont="1" applyFill="1" applyBorder="1" applyAlignment="1">
      <alignment vertical="top"/>
    </xf>
    <xf numFmtId="0" fontId="25" fillId="29" borderId="0" xfId="87" applyFont="1" applyFill="1" applyBorder="1" applyAlignment="1">
      <alignment vertical="top"/>
    </xf>
    <xf numFmtId="0" fontId="72" fillId="39" borderId="0" xfId="87" applyFont="1" applyFill="1" applyAlignment="1">
      <alignment vertical="top"/>
    </xf>
    <xf numFmtId="0" fontId="25" fillId="39" borderId="0" xfId="87" applyFont="1" applyFill="1" applyAlignment="1">
      <alignment vertical="top"/>
    </xf>
    <xf numFmtId="0" fontId="15" fillId="40" borderId="38" xfId="83" applyFont="1" applyFill="1" applyBorder="1" applyAlignment="1">
      <alignment horizontal="center" vertical="center" wrapText="1"/>
    </xf>
    <xf numFmtId="0" fontId="15" fillId="40" borderId="37" xfId="83" applyFont="1" applyFill="1" applyBorder="1" applyAlignment="1">
      <alignment horizontal="center" vertical="center" wrapText="1"/>
    </xf>
    <xf numFmtId="0" fontId="16" fillId="40" borderId="40" xfId="83" applyFont="1" applyFill="1" applyBorder="1" applyAlignment="1">
      <alignment horizontal="center" vertical="center" wrapText="1"/>
    </xf>
    <xf numFmtId="0" fontId="15" fillId="40" borderId="40" xfId="83" applyFont="1" applyFill="1" applyBorder="1" applyAlignment="1">
      <alignment horizontal="center" vertical="center" wrapText="1"/>
    </xf>
    <xf numFmtId="4" fontId="19" fillId="0" borderId="37" xfId="146" applyNumberFormat="1" applyFont="1" applyFill="1" applyBorder="1" applyAlignment="1">
      <alignment horizontal="center" vertical="center" wrapText="1"/>
    </xf>
    <xf numFmtId="4" fontId="19" fillId="59" borderId="37" xfId="146" applyNumberFormat="1" applyFont="1" applyFill="1" applyBorder="1" applyAlignment="1">
      <alignment horizontal="center" vertical="center" wrapText="1"/>
    </xf>
    <xf numFmtId="0" fontId="15" fillId="53" borderId="40" xfId="83" applyFont="1" applyFill="1" applyBorder="1" applyAlignment="1">
      <alignment horizontal="center" vertical="center" wrapText="1"/>
    </xf>
    <xf numFmtId="0" fontId="81" fillId="39" borderId="0" xfId="87" applyFont="1" applyFill="1" applyAlignment="1">
      <alignment vertical="center"/>
    </xf>
    <xf numFmtId="0" fontId="15" fillId="0" borderId="133" xfId="83" applyFont="1" applyFill="1" applyBorder="1" applyAlignment="1">
      <alignment horizontal="center" vertical="center" wrapText="1"/>
    </xf>
    <xf numFmtId="49" fontId="15" fillId="0" borderId="38" xfId="83" applyNumberFormat="1" applyFont="1" applyBorder="1" applyAlignment="1">
      <alignment horizontal="center" vertical="center" wrapText="1"/>
    </xf>
    <xf numFmtId="49" fontId="15" fillId="0" borderId="37" xfId="83" applyNumberFormat="1" applyFont="1" applyBorder="1" applyAlignment="1">
      <alignment horizontal="center" vertical="center" wrapText="1"/>
    </xf>
    <xf numFmtId="166" fontId="38" fillId="0" borderId="0" xfId="63" applyBorder="1" applyAlignment="1">
      <alignment vertical="center"/>
    </xf>
    <xf numFmtId="166" fontId="38" fillId="0" borderId="0" xfId="63" applyFill="1" applyBorder="1" applyAlignment="1">
      <alignment vertical="center"/>
    </xf>
    <xf numFmtId="166" fontId="0" fillId="0" borderId="0" xfId="63" applyFont="1" applyFill="1" applyBorder="1" applyAlignment="1">
      <alignment vertical="center"/>
    </xf>
    <xf numFmtId="43" fontId="23" fillId="60" borderId="0" xfId="83" applyNumberFormat="1" applyFont="1" applyFill="1" applyBorder="1" applyAlignment="1">
      <alignment vertical="center"/>
    </xf>
    <xf numFmtId="43" fontId="23" fillId="0" borderId="0" xfId="83" applyNumberFormat="1" applyFont="1" applyFill="1" applyBorder="1" applyAlignment="1">
      <alignment vertical="center"/>
    </xf>
    <xf numFmtId="0" fontId="24" fillId="35" borderId="37" xfId="146" applyFont="1" applyFill="1" applyBorder="1" applyAlignment="1">
      <alignment vertical="center" wrapText="1"/>
    </xf>
    <xf numFmtId="0" fontId="28" fillId="39" borderId="0" xfId="87" applyFont="1" applyFill="1" applyBorder="1" applyAlignment="1">
      <alignment horizontal="center" vertical="top"/>
    </xf>
    <xf numFmtId="4" fontId="22" fillId="35" borderId="37" xfId="146" applyNumberFormat="1" applyFont="1" applyFill="1" applyBorder="1" applyAlignment="1">
      <alignment horizontal="center" vertical="center" wrapText="1"/>
    </xf>
    <xf numFmtId="4" fontId="22" fillId="35" borderId="37" xfId="146" applyNumberFormat="1" applyFont="1" applyFill="1" applyBorder="1" applyAlignment="1">
      <alignment vertical="center" wrapText="1"/>
    </xf>
    <xf numFmtId="4" fontId="22" fillId="35" borderId="46" xfId="146" applyNumberFormat="1" applyFont="1" applyFill="1" applyBorder="1" applyAlignment="1">
      <alignment horizontal="center" vertical="center" wrapText="1"/>
    </xf>
    <xf numFmtId="4" fontId="22" fillId="35" borderId="39" xfId="146" applyNumberFormat="1" applyFont="1" applyFill="1" applyBorder="1" applyAlignment="1">
      <alignment vertical="center" wrapText="1"/>
    </xf>
    <xf numFmtId="0" fontId="16" fillId="34" borderId="37" xfId="146" applyFont="1" applyFill="1" applyBorder="1" applyAlignment="1">
      <alignment vertical="center" wrapText="1"/>
    </xf>
    <xf numFmtId="4" fontId="19" fillId="34" borderId="37" xfId="146" applyNumberFormat="1" applyFont="1" applyFill="1" applyBorder="1" applyAlignment="1">
      <alignment horizontal="center" vertical="center" wrapText="1"/>
    </xf>
    <xf numFmtId="4" fontId="19" fillId="34" borderId="37" xfId="146" applyNumberFormat="1" applyFont="1" applyFill="1" applyBorder="1" applyAlignment="1">
      <alignment vertical="center" wrapText="1"/>
    </xf>
    <xf numFmtId="4" fontId="19" fillId="34" borderId="46" xfId="146" applyNumberFormat="1" applyFont="1" applyFill="1" applyBorder="1" applyAlignment="1">
      <alignment horizontal="center" vertical="center" wrapText="1"/>
    </xf>
    <xf numFmtId="4" fontId="15" fillId="34" borderId="39" xfId="146" applyNumberFormat="1" applyFont="1" applyFill="1" applyBorder="1" applyAlignment="1">
      <alignment vertical="center" wrapText="1"/>
    </xf>
    <xf numFmtId="0" fontId="16" fillId="0" borderId="37" xfId="146" applyFont="1" applyFill="1" applyBorder="1" applyAlignment="1">
      <alignment vertical="center" wrapText="1"/>
    </xf>
    <xf numFmtId="4" fontId="59" fillId="0" borderId="37" xfId="146" applyNumberFormat="1" applyFont="1" applyFill="1" applyBorder="1" applyAlignment="1">
      <alignment horizontal="center" vertical="center" wrapText="1"/>
    </xf>
    <xf numFmtId="4" fontId="59" fillId="0" borderId="37" xfId="146" applyNumberFormat="1" applyFont="1" applyFill="1" applyBorder="1" applyAlignment="1">
      <alignment vertical="center" wrapText="1"/>
    </xf>
    <xf numFmtId="4" fontId="59" fillId="0" borderId="46" xfId="146" applyNumberFormat="1" applyFont="1" applyFill="1" applyBorder="1" applyAlignment="1">
      <alignment horizontal="center" vertical="center" wrapText="1"/>
    </xf>
    <xf numFmtId="4" fontId="58" fillId="0" borderId="39" xfId="146" applyNumberFormat="1" applyFont="1" applyFill="1" applyBorder="1" applyAlignment="1">
      <alignment vertical="center" wrapText="1"/>
    </xf>
    <xf numFmtId="4" fontId="15" fillId="0" borderId="37" xfId="146" applyNumberFormat="1" applyFont="1" applyFill="1" applyBorder="1" applyAlignment="1">
      <alignment vertical="center" wrapText="1"/>
    </xf>
    <xf numFmtId="0" fontId="15" fillId="0" borderId="37" xfId="146" applyFont="1" applyFill="1" applyBorder="1" applyAlignment="1">
      <alignment vertical="center" wrapText="1"/>
    </xf>
    <xf numFmtId="4" fontId="19" fillId="59" borderId="37" xfId="146" applyNumberFormat="1" applyFont="1" applyFill="1" applyBorder="1" applyAlignment="1">
      <alignment vertical="center" wrapText="1"/>
    </xf>
    <xf numFmtId="4" fontId="19" fillId="0" borderId="46" xfId="146" applyNumberFormat="1" applyFont="1" applyFill="1" applyBorder="1" applyAlignment="1">
      <alignment horizontal="center" vertical="center" wrapText="1"/>
    </xf>
    <xf numFmtId="4" fontId="15" fillId="0" borderId="39" xfId="146" applyNumberFormat="1" applyFont="1" applyFill="1" applyBorder="1" applyAlignment="1">
      <alignment vertical="center" wrapText="1"/>
    </xf>
    <xf numFmtId="4" fontId="19" fillId="0" borderId="37" xfId="146" applyNumberFormat="1" applyFont="1" applyFill="1" applyBorder="1" applyAlignment="1">
      <alignment vertical="center" wrapText="1"/>
    </xf>
    <xf numFmtId="4" fontId="15" fillId="59" borderId="37" xfId="146" applyNumberFormat="1" applyFont="1" applyFill="1" applyBorder="1" applyAlignment="1">
      <alignment vertical="center" wrapText="1"/>
    </xf>
    <xf numFmtId="0" fontId="15" fillId="59" borderId="37" xfId="146" applyFont="1" applyFill="1" applyBorder="1" applyAlignment="1">
      <alignment vertical="center" wrapText="1"/>
    </xf>
    <xf numFmtId="4" fontId="15" fillId="40" borderId="37" xfId="146" applyNumberFormat="1" applyFont="1" applyFill="1" applyBorder="1" applyAlignment="1">
      <alignment vertical="center" wrapText="1"/>
    </xf>
    <xf numFmtId="4" fontId="19" fillId="40" borderId="37" xfId="146" applyNumberFormat="1" applyFont="1" applyFill="1" applyBorder="1" applyAlignment="1">
      <alignment horizontal="center" vertical="center" wrapText="1"/>
    </xf>
    <xf numFmtId="4" fontId="19" fillId="40" borderId="37" xfId="146" applyNumberFormat="1" applyFont="1" applyFill="1" applyBorder="1" applyAlignment="1">
      <alignment vertical="center" wrapText="1"/>
    </xf>
    <xf numFmtId="4" fontId="19" fillId="40" borderId="46" xfId="146" applyNumberFormat="1" applyFont="1" applyFill="1" applyBorder="1" applyAlignment="1">
      <alignment horizontal="center" vertical="center" wrapText="1"/>
    </xf>
    <xf numFmtId="4" fontId="15" fillId="40" borderId="39" xfId="146" applyNumberFormat="1" applyFont="1" applyFill="1" applyBorder="1" applyAlignment="1">
      <alignment vertical="center" wrapText="1"/>
    </xf>
    <xf numFmtId="0" fontId="19" fillId="0" borderId="37" xfId="146" applyFont="1" applyFill="1" applyBorder="1" applyAlignment="1">
      <alignment horizontal="center"/>
    </xf>
    <xf numFmtId="0" fontId="19" fillId="0" borderId="37" xfId="146" applyFont="1" applyFill="1" applyBorder="1"/>
    <xf numFmtId="0" fontId="16" fillId="0" borderId="37" xfId="146" applyFont="1" applyBorder="1" applyAlignment="1">
      <alignment vertical="center" wrapText="1"/>
    </xf>
    <xf numFmtId="4" fontId="19" fillId="0" borderId="37" xfId="146" applyNumberFormat="1" applyFont="1" applyBorder="1" applyAlignment="1">
      <alignment horizontal="center" vertical="center" wrapText="1"/>
    </xf>
    <xf numFmtId="4" fontId="19" fillId="0" borderId="37" xfId="146" applyNumberFormat="1" applyFont="1" applyBorder="1" applyAlignment="1">
      <alignment vertical="center" wrapText="1"/>
    </xf>
    <xf numFmtId="4" fontId="19" fillId="0" borderId="46" xfId="146" applyNumberFormat="1" applyFont="1" applyBorder="1" applyAlignment="1">
      <alignment horizontal="center" vertical="center" wrapText="1"/>
    </xf>
    <xf numFmtId="4" fontId="15" fillId="0" borderId="39" xfId="146" applyNumberFormat="1" applyFont="1" applyBorder="1" applyAlignment="1">
      <alignment vertical="center" wrapText="1"/>
    </xf>
    <xf numFmtId="0" fontId="15" fillId="0" borderId="37" xfId="146" applyFont="1" applyBorder="1" applyAlignment="1">
      <alignment vertical="center" wrapText="1"/>
    </xf>
    <xf numFmtId="0" fontId="16" fillId="40" borderId="37" xfId="146" applyFont="1" applyFill="1" applyBorder="1" applyAlignment="1">
      <alignment vertical="center" wrapText="1"/>
    </xf>
    <xf numFmtId="0" fontId="15" fillId="40" borderId="37" xfId="146" applyFont="1" applyFill="1" applyBorder="1" applyAlignment="1">
      <alignment vertical="center" wrapText="1"/>
    </xf>
    <xf numFmtId="3" fontId="21" fillId="0" borderId="37" xfId="146" applyNumberFormat="1" applyFont="1" applyFill="1" applyBorder="1" applyAlignment="1" applyProtection="1">
      <alignment horizontal="left" vertical="center" wrapText="1"/>
    </xf>
    <xf numFmtId="0" fontId="15" fillId="53" borderId="37" xfId="146" applyFont="1" applyFill="1" applyBorder="1" applyAlignment="1">
      <alignment vertical="center" wrapText="1"/>
    </xf>
    <xf numFmtId="4" fontId="19" fillId="53" borderId="37" xfId="146" applyNumberFormat="1" applyFont="1" applyFill="1" applyBorder="1" applyAlignment="1">
      <alignment horizontal="center" vertical="center" wrapText="1"/>
    </xf>
    <xf numFmtId="4" fontId="19" fillId="53" borderId="37" xfId="146" applyNumberFormat="1" applyFont="1" applyFill="1" applyBorder="1" applyAlignment="1">
      <alignment vertical="center" wrapText="1"/>
    </xf>
    <xf numFmtId="4" fontId="19" fillId="53" borderId="46" xfId="146" applyNumberFormat="1" applyFont="1" applyFill="1" applyBorder="1" applyAlignment="1">
      <alignment horizontal="center" vertical="center" wrapText="1"/>
    </xf>
    <xf numFmtId="4" fontId="15" fillId="53" borderId="39" xfId="146" applyNumberFormat="1" applyFont="1" applyFill="1" applyBorder="1" applyAlignment="1">
      <alignment vertical="center" wrapText="1"/>
    </xf>
    <xf numFmtId="0" fontId="16" fillId="53" borderId="37" xfId="146" applyFont="1" applyFill="1" applyBorder="1" applyAlignment="1">
      <alignment vertical="center" wrapText="1"/>
    </xf>
    <xf numFmtId="4" fontId="19" fillId="0" borderId="50" xfId="146" applyNumberFormat="1" applyFont="1" applyFill="1" applyBorder="1" applyAlignment="1">
      <alignment vertical="center" wrapText="1"/>
    </xf>
    <xf numFmtId="0" fontId="15" fillId="40" borderId="46" xfId="0" applyFont="1" applyFill="1" applyBorder="1" applyAlignment="1">
      <alignment horizontal="center" vertical="center" wrapText="1"/>
    </xf>
    <xf numFmtId="4" fontId="19" fillId="0" borderId="118" xfId="146" applyNumberFormat="1" applyFont="1" applyFill="1" applyBorder="1" applyAlignment="1">
      <alignment horizontal="center" vertical="center" wrapText="1"/>
    </xf>
    <xf numFmtId="4" fontId="19" fillId="0" borderId="0" xfId="146" applyNumberFormat="1" applyFont="1" applyFill="1" applyBorder="1" applyAlignment="1">
      <alignment vertical="center" wrapText="1"/>
    </xf>
    <xf numFmtId="0" fontId="15" fillId="0" borderId="117" xfId="146" applyFont="1" applyFill="1" applyBorder="1" applyAlignment="1">
      <alignment horizontal="center" vertical="center" wrapText="1"/>
    </xf>
    <xf numFmtId="49" fontId="15" fillId="0" borderId="38" xfId="146" applyNumberFormat="1" applyFont="1" applyFill="1" applyBorder="1" applyAlignment="1">
      <alignment horizontal="center" vertical="center" wrapText="1"/>
    </xf>
    <xf numFmtId="4" fontId="19" fillId="34" borderId="119" xfId="146" applyNumberFormat="1" applyFont="1" applyFill="1" applyBorder="1" applyAlignment="1">
      <alignment vertical="center" wrapText="1"/>
    </xf>
    <xf numFmtId="4" fontId="19" fillId="59" borderId="46" xfId="146" applyNumberFormat="1" applyFont="1" applyFill="1" applyBorder="1" applyAlignment="1">
      <alignment horizontal="center" vertical="center" wrapText="1"/>
    </xf>
    <xf numFmtId="4" fontId="15" fillId="59" borderId="39" xfId="146" applyNumberFormat="1" applyFont="1" applyFill="1" applyBorder="1" applyAlignment="1">
      <alignment vertical="center" wrapText="1"/>
    </xf>
    <xf numFmtId="0" fontId="16" fillId="30" borderId="37" xfId="146" applyFont="1" applyFill="1" applyBorder="1" applyAlignment="1">
      <alignment vertical="center" wrapText="1"/>
    </xf>
    <xf numFmtId="0" fontId="15" fillId="0" borderId="37" xfId="146" applyFont="1" applyFill="1" applyBorder="1" applyAlignment="1">
      <alignment horizontal="left" vertical="center" wrapText="1"/>
    </xf>
    <xf numFmtId="0" fontId="16" fillId="0" borderId="37" xfId="146" applyFont="1" applyFill="1" applyBorder="1" applyAlignment="1">
      <alignment horizontal="left" vertical="center" wrapText="1"/>
    </xf>
    <xf numFmtId="0" fontId="15" fillId="30" borderId="37" xfId="146" applyFont="1" applyFill="1" applyBorder="1" applyAlignment="1">
      <alignment vertical="center" wrapText="1"/>
    </xf>
    <xf numFmtId="0" fontId="15" fillId="53" borderId="37" xfId="146" applyFont="1" applyFill="1" applyBorder="1" applyAlignment="1">
      <alignment horizontal="left" vertical="center" wrapText="1"/>
    </xf>
    <xf numFmtId="0" fontId="15" fillId="40" borderId="37" xfId="146" applyFont="1" applyFill="1" applyBorder="1" applyAlignment="1">
      <alignment horizontal="left" vertical="center" wrapText="1"/>
    </xf>
    <xf numFmtId="0" fontId="16" fillId="40" borderId="37" xfId="146" applyFont="1" applyFill="1" applyBorder="1" applyAlignment="1">
      <alignment horizontal="left" vertical="center" wrapText="1"/>
    </xf>
    <xf numFmtId="4" fontId="20" fillId="0" borderId="37" xfId="146" applyNumberFormat="1" applyFont="1" applyFill="1" applyBorder="1" applyAlignment="1">
      <alignment horizontal="center" vertical="center" wrapText="1"/>
    </xf>
    <xf numFmtId="4" fontId="20" fillId="0" borderId="37" xfId="146" applyNumberFormat="1" applyFont="1" applyFill="1" applyBorder="1" applyAlignment="1">
      <alignment vertical="center" wrapText="1"/>
    </xf>
    <xf numFmtId="4" fontId="20" fillId="0" borderId="46" xfId="146" applyNumberFormat="1" applyFont="1" applyFill="1" applyBorder="1" applyAlignment="1">
      <alignment horizontal="center" vertical="center" wrapText="1"/>
    </xf>
    <xf numFmtId="4" fontId="16" fillId="0" borderId="39" xfId="146" applyNumberFormat="1" applyFont="1" applyFill="1" applyBorder="1" applyAlignment="1">
      <alignment vertical="center" wrapText="1"/>
    </xf>
    <xf numFmtId="0" fontId="16" fillId="59" borderId="37" xfId="146" applyFont="1" applyFill="1" applyBorder="1" applyAlignment="1">
      <alignment vertical="center" wrapText="1"/>
    </xf>
    <xf numFmtId="4" fontId="16" fillId="0" borderId="37" xfId="146" applyNumberFormat="1" applyFont="1" applyFill="1" applyBorder="1" applyAlignment="1">
      <alignment vertical="center" wrapText="1"/>
    </xf>
    <xf numFmtId="3" fontId="19" fillId="0" borderId="37" xfId="146" applyNumberFormat="1" applyFont="1" applyFill="1" applyBorder="1" applyAlignment="1" applyProtection="1">
      <alignment horizontal="center" vertical="center" wrapText="1"/>
    </xf>
    <xf numFmtId="3" fontId="21" fillId="0" borderId="37" xfId="146" applyNumberFormat="1" applyFont="1" applyFill="1" applyBorder="1" applyAlignment="1" applyProtection="1">
      <alignment horizontal="center" vertical="center" wrapText="1"/>
    </xf>
    <xf numFmtId="3" fontId="21" fillId="59" borderId="37" xfId="146" applyNumberFormat="1" applyFont="1" applyFill="1" applyBorder="1" applyAlignment="1" applyProtection="1">
      <alignment horizontal="center" vertical="center" wrapText="1"/>
    </xf>
    <xf numFmtId="0" fontId="19" fillId="0" borderId="37" xfId="146" applyFont="1" applyBorder="1" applyAlignment="1">
      <alignment vertical="center" wrapText="1"/>
    </xf>
    <xf numFmtId="4" fontId="20" fillId="0" borderId="37" xfId="146" applyNumberFormat="1" applyFont="1" applyBorder="1" applyAlignment="1">
      <alignment horizontal="center" vertical="center" wrapText="1"/>
    </xf>
    <xf numFmtId="3" fontId="20" fillId="0" borderId="37" xfId="146" applyNumberFormat="1" applyFont="1" applyFill="1" applyBorder="1" applyAlignment="1" applyProtection="1">
      <alignment horizontal="center" vertical="center" wrapText="1"/>
    </xf>
    <xf numFmtId="0" fontId="15" fillId="0" borderId="43" xfId="146" applyFont="1" applyFill="1" applyBorder="1" applyAlignment="1">
      <alignment vertical="center" wrapText="1"/>
    </xf>
    <xf numFmtId="4" fontId="19" fillId="0" borderId="43" xfId="146" applyNumberFormat="1" applyFont="1" applyBorder="1" applyAlignment="1">
      <alignment horizontal="center" vertical="center" wrapText="1"/>
    </xf>
    <xf numFmtId="4" fontId="19" fillId="0" borderId="43" xfId="146" applyNumberFormat="1" applyFont="1" applyBorder="1" applyAlignment="1">
      <alignment vertical="center" wrapText="1"/>
    </xf>
    <xf numFmtId="4" fontId="19" fillId="0" borderId="47" xfId="146" applyNumberFormat="1" applyFont="1" applyFill="1" applyBorder="1" applyAlignment="1">
      <alignment horizontal="center" vertical="center" wrapText="1"/>
    </xf>
    <xf numFmtId="4" fontId="15" fillId="33" borderId="96" xfId="50" applyNumberFormat="1" applyFont="1" applyFill="1" applyBorder="1" applyAlignment="1" applyProtection="1">
      <alignment horizontal="center" vertical="center" wrapText="1"/>
    </xf>
    <xf numFmtId="4" fontId="15" fillId="33" borderId="95" xfId="50" applyNumberFormat="1" applyFont="1" applyFill="1" applyBorder="1" applyAlignment="1" applyProtection="1">
      <alignment horizontal="center" vertical="center" wrapText="1"/>
    </xf>
    <xf numFmtId="4" fontId="15" fillId="33" borderId="94" xfId="50" applyNumberFormat="1" applyFont="1" applyFill="1" applyBorder="1" applyAlignment="1" applyProtection="1">
      <alignment horizontal="center" vertical="center" wrapText="1"/>
    </xf>
    <xf numFmtId="4" fontId="15" fillId="33" borderId="90" xfId="50" applyNumberFormat="1" applyFont="1" applyFill="1" applyBorder="1" applyAlignment="1" applyProtection="1">
      <alignment horizontal="center" vertical="center" wrapText="1"/>
    </xf>
    <xf numFmtId="4" fontId="15" fillId="33" borderId="84" xfId="50" applyNumberFormat="1" applyFont="1" applyFill="1" applyBorder="1" applyAlignment="1" applyProtection="1">
      <alignment horizontal="center" vertical="center" wrapText="1"/>
    </xf>
    <xf numFmtId="4" fontId="15" fillId="33" borderId="83" xfId="50" applyNumberFormat="1" applyFont="1" applyFill="1" applyBorder="1" applyAlignment="1" applyProtection="1">
      <alignment horizontal="center" vertical="center" wrapText="1"/>
    </xf>
    <xf numFmtId="3" fontId="15" fillId="33" borderId="99" xfId="0" applyNumberFormat="1" applyFont="1" applyFill="1" applyBorder="1" applyAlignment="1">
      <alignment horizontal="center" vertical="center" wrapText="1"/>
    </xf>
    <xf numFmtId="3" fontId="15" fillId="33" borderId="56" xfId="0" applyNumberFormat="1" applyFont="1" applyFill="1" applyBorder="1" applyAlignment="1">
      <alignment horizontal="center" vertical="center" wrapText="1"/>
    </xf>
    <xf numFmtId="3" fontId="15" fillId="33" borderId="14" xfId="0" applyNumberFormat="1" applyFont="1" applyFill="1" applyBorder="1" applyAlignment="1">
      <alignment horizontal="center" vertical="center" wrapText="1"/>
    </xf>
    <xf numFmtId="0" fontId="19" fillId="38" borderId="116" xfId="83" applyFont="1" applyFill="1" applyBorder="1" applyAlignment="1">
      <alignment horizontal="center" vertical="center" textRotation="90"/>
    </xf>
    <xf numFmtId="0" fontId="19" fillId="38" borderId="85" xfId="83" applyFont="1" applyFill="1" applyBorder="1" applyAlignment="1">
      <alignment horizontal="center" vertical="center" textRotation="90"/>
    </xf>
    <xf numFmtId="0" fontId="19" fillId="38" borderId="86" xfId="83" applyFont="1" applyFill="1" applyBorder="1" applyAlignment="1">
      <alignment horizontal="center" vertical="center" textRotation="90"/>
    </xf>
    <xf numFmtId="0" fontId="19" fillId="38" borderId="87" xfId="83" applyFont="1" applyFill="1" applyBorder="1" applyAlignment="1">
      <alignment horizontal="center" vertical="center" textRotation="90"/>
    </xf>
    <xf numFmtId="0" fontId="19" fillId="38" borderId="88" xfId="83" applyFont="1" applyFill="1" applyBorder="1" applyAlignment="1">
      <alignment horizontal="center" vertical="center" textRotation="90"/>
    </xf>
    <xf numFmtId="0" fontId="19" fillId="38" borderId="89" xfId="83" applyFont="1" applyFill="1" applyBorder="1" applyAlignment="1">
      <alignment horizontal="center" vertical="center" textRotation="90"/>
    </xf>
    <xf numFmtId="0" fontId="19" fillId="38" borderId="87" xfId="83" applyFont="1" applyFill="1" applyBorder="1" applyAlignment="1">
      <alignment horizontal="center" vertical="center" wrapText="1"/>
    </xf>
    <xf numFmtId="0" fontId="19" fillId="38" borderId="88" xfId="83" applyFont="1" applyFill="1" applyBorder="1" applyAlignment="1">
      <alignment horizontal="center" vertical="center" wrapText="1"/>
    </xf>
    <xf numFmtId="0" fontId="19" fillId="38" borderId="89" xfId="83" applyFont="1" applyFill="1" applyBorder="1" applyAlignment="1">
      <alignment horizontal="center" vertical="center" wrapText="1"/>
    </xf>
    <xf numFmtId="0" fontId="19" fillId="38" borderId="91" xfId="83" applyFont="1" applyFill="1" applyBorder="1" applyAlignment="1">
      <alignment horizontal="center" vertical="center" wrapText="1"/>
    </xf>
    <xf numFmtId="0" fontId="19" fillId="38" borderId="92" xfId="83" applyFont="1" applyFill="1" applyBorder="1" applyAlignment="1">
      <alignment horizontal="center" vertical="center" wrapText="1"/>
    </xf>
    <xf numFmtId="0" fontId="19" fillId="38" borderId="93" xfId="83" applyFont="1" applyFill="1" applyBorder="1" applyAlignment="1">
      <alignment horizontal="center" vertical="center" wrapText="1"/>
    </xf>
    <xf numFmtId="0" fontId="19" fillId="38" borderId="63" xfId="83" applyFont="1" applyFill="1" applyBorder="1" applyAlignment="1">
      <alignment horizontal="center" vertical="center" wrapText="1"/>
    </xf>
    <xf numFmtId="0" fontId="19" fillId="38" borderId="66" xfId="83" applyFont="1" applyFill="1" applyBorder="1" applyAlignment="1">
      <alignment horizontal="center" vertical="center" wrapText="1"/>
    </xf>
    <xf numFmtId="0" fontId="19" fillId="38" borderId="34" xfId="83" applyFont="1" applyFill="1" applyBorder="1" applyAlignment="1">
      <alignment horizontal="center" vertical="center" wrapText="1"/>
    </xf>
    <xf numFmtId="49" fontId="9" fillId="29" borderId="0" xfId="47" applyNumberFormat="1" applyFont="1" applyFill="1" applyBorder="1" applyAlignment="1">
      <alignment horizontal="left" vertical="top" wrapText="1"/>
    </xf>
    <xf numFmtId="49" fontId="9" fillId="29" borderId="48" xfId="47" applyNumberFormat="1" applyFont="1" applyFill="1" applyBorder="1" applyAlignment="1">
      <alignment horizontal="left" vertical="top" wrapText="1"/>
    </xf>
    <xf numFmtId="0" fontId="39" fillId="29" borderId="0" xfId="84" applyFont="1" applyFill="1" applyAlignment="1">
      <alignment horizontal="center" vertical="center"/>
    </xf>
    <xf numFmtId="49" fontId="23" fillId="29" borderId="0" xfId="47" applyNumberFormat="1" applyFont="1" applyFill="1" applyBorder="1" applyAlignment="1">
      <alignment horizontal="left" vertical="top" wrapText="1"/>
    </xf>
    <xf numFmtId="49" fontId="23" fillId="29" borderId="48" xfId="47" applyNumberFormat="1" applyFont="1" applyFill="1" applyBorder="1" applyAlignment="1">
      <alignment horizontal="left" vertical="top" wrapText="1"/>
    </xf>
    <xf numFmtId="49" fontId="23" fillId="29" borderId="0" xfId="85" applyNumberFormat="1" applyFont="1" applyFill="1" applyBorder="1" applyAlignment="1">
      <alignment horizontal="left" vertical="top" wrapText="1"/>
    </xf>
    <xf numFmtId="49" fontId="23" fillId="29" borderId="48" xfId="85" applyNumberFormat="1" applyFont="1" applyFill="1" applyBorder="1" applyAlignment="1">
      <alignment horizontal="left" vertical="top" wrapText="1"/>
    </xf>
    <xf numFmtId="0" fontId="24" fillId="29" borderId="102" xfId="85" applyFont="1" applyFill="1" applyBorder="1" applyAlignment="1">
      <alignment horizontal="center" vertical="center"/>
    </xf>
    <xf numFmtId="0" fontId="24" fillId="29" borderId="103" xfId="85" applyFont="1" applyFill="1" applyBorder="1" applyAlignment="1">
      <alignment horizontal="center" vertical="center"/>
    </xf>
    <xf numFmtId="0" fontId="24" fillId="29" borderId="21" xfId="85" applyFont="1" applyFill="1" applyBorder="1" applyAlignment="1">
      <alignment horizontal="center" vertical="center"/>
    </xf>
    <xf numFmtId="49" fontId="50" fillId="35" borderId="68" xfId="47" applyNumberFormat="1" applyFont="1" applyFill="1" applyBorder="1" applyAlignment="1">
      <alignment horizontal="left" vertical="top" wrapText="1"/>
    </xf>
    <xf numFmtId="49" fontId="50" fillId="35" borderId="69" xfId="47" applyNumberFormat="1" applyFont="1" applyFill="1" applyBorder="1" applyAlignment="1">
      <alignment horizontal="left" vertical="top" wrapText="1"/>
    </xf>
    <xf numFmtId="49" fontId="50" fillId="35" borderId="70" xfId="47" applyNumberFormat="1" applyFont="1" applyFill="1" applyBorder="1" applyAlignment="1">
      <alignment horizontal="left" vertical="top" wrapText="1"/>
    </xf>
    <xf numFmtId="0" fontId="40" fillId="29" borderId="102" xfId="85" applyFont="1" applyFill="1" applyBorder="1" applyAlignment="1">
      <alignment horizontal="center" vertical="center"/>
    </xf>
    <xf numFmtId="0" fontId="40" fillId="29" borderId="103" xfId="85" applyFont="1" applyFill="1" applyBorder="1" applyAlignment="1">
      <alignment horizontal="center" vertical="center"/>
    </xf>
    <xf numFmtId="0" fontId="40" fillId="29" borderId="78" xfId="85" applyFont="1" applyFill="1" applyBorder="1" applyAlignment="1">
      <alignment horizontal="center" vertical="center"/>
    </xf>
    <xf numFmtId="0" fontId="40" fillId="29" borderId="79" xfId="85" applyFont="1" applyFill="1" applyBorder="1" applyAlignment="1">
      <alignment horizontal="center" vertical="center"/>
    </xf>
    <xf numFmtId="0" fontId="24" fillId="29" borderId="20" xfId="85" applyFont="1" applyFill="1" applyBorder="1" applyAlignment="1">
      <alignment horizontal="center" vertical="center"/>
    </xf>
    <xf numFmtId="0" fontId="24" fillId="29" borderId="120" xfId="85" applyFont="1" applyFill="1" applyBorder="1" applyAlignment="1">
      <alignment horizontal="center" vertical="center"/>
    </xf>
    <xf numFmtId="0" fontId="24" fillId="29" borderId="24" xfId="85" applyFont="1" applyFill="1" applyBorder="1" applyAlignment="1">
      <alignment horizontal="center" vertical="center"/>
    </xf>
    <xf numFmtId="0" fontId="24" fillId="29" borderId="79" xfId="85" applyFont="1" applyFill="1" applyBorder="1" applyAlignment="1">
      <alignment horizontal="center" vertical="center"/>
    </xf>
    <xf numFmtId="0" fontId="24" fillId="29" borderId="80" xfId="85" applyFont="1" applyFill="1" applyBorder="1" applyAlignment="1">
      <alignment horizontal="center" vertical="center"/>
    </xf>
    <xf numFmtId="0" fontId="45" fillId="29" borderId="102" xfId="47" applyNumberFormat="1" applyFont="1" applyFill="1" applyBorder="1" applyAlignment="1">
      <alignment horizontal="center" vertical="center" wrapText="1"/>
    </xf>
    <xf numFmtId="0" fontId="45" fillId="29" borderId="103" xfId="47" applyNumberFormat="1" applyFont="1" applyFill="1" applyBorder="1" applyAlignment="1">
      <alignment horizontal="center" vertical="center" wrapText="1"/>
    </xf>
    <xf numFmtId="0" fontId="45" fillId="29" borderId="120" xfId="47" applyNumberFormat="1" applyFont="1" applyFill="1" applyBorder="1" applyAlignment="1">
      <alignment horizontal="center" vertical="center" wrapText="1"/>
    </xf>
    <xf numFmtId="0" fontId="43" fillId="29" borderId="121" xfId="47" applyNumberFormat="1" applyFont="1" applyFill="1" applyBorder="1" applyAlignment="1">
      <alignment horizontal="center" vertical="top" wrapText="1"/>
    </xf>
    <xf numFmtId="0" fontId="43" fillId="29" borderId="122" xfId="47" applyNumberFormat="1" applyFont="1" applyFill="1" applyBorder="1" applyAlignment="1">
      <alignment horizontal="center" vertical="top" wrapText="1"/>
    </xf>
    <xf numFmtId="0" fontId="43" fillId="29" borderId="123" xfId="47" applyNumberFormat="1" applyFont="1" applyFill="1" applyBorder="1" applyAlignment="1">
      <alignment horizontal="center" vertical="top" wrapText="1"/>
    </xf>
    <xf numFmtId="0" fontId="40" fillId="29" borderId="120" xfId="85" applyFont="1" applyFill="1" applyBorder="1" applyAlignment="1">
      <alignment horizontal="center" vertical="center"/>
    </xf>
    <xf numFmtId="0" fontId="40" fillId="29" borderId="80" xfId="85" applyFont="1" applyFill="1" applyBorder="1" applyAlignment="1">
      <alignment horizontal="center" vertical="center"/>
    </xf>
    <xf numFmtId="0" fontId="41" fillId="29" borderId="20" xfId="85" applyFont="1" applyFill="1" applyBorder="1" applyAlignment="1">
      <alignment horizontal="center" vertical="center"/>
    </xf>
    <xf numFmtId="0" fontId="41" fillId="29" borderId="103" xfId="85" applyFont="1" applyFill="1" applyBorder="1" applyAlignment="1">
      <alignment horizontal="center" vertical="center"/>
    </xf>
    <xf numFmtId="0" fontId="41" fillId="29" borderId="21" xfId="85" applyFont="1" applyFill="1" applyBorder="1" applyAlignment="1">
      <alignment horizontal="center" vertical="center"/>
    </xf>
    <xf numFmtId="0" fontId="41" fillId="29" borderId="24" xfId="85" applyFont="1" applyFill="1" applyBorder="1" applyAlignment="1">
      <alignment horizontal="center" vertical="center"/>
    </xf>
    <xf numFmtId="0" fontId="41" fillId="29" borderId="79" xfId="85" applyFont="1" applyFill="1" applyBorder="1" applyAlignment="1">
      <alignment horizontal="center" vertical="center"/>
    </xf>
    <xf numFmtId="0" fontId="41" fillId="29" borderId="25" xfId="85" applyFont="1" applyFill="1" applyBorder="1" applyAlignment="1">
      <alignment horizontal="center" vertical="center"/>
    </xf>
    <xf numFmtId="0" fontId="26" fillId="56" borderId="102" xfId="87" applyFont="1" applyFill="1" applyBorder="1" applyAlignment="1">
      <alignment horizontal="center" vertical="center"/>
    </xf>
    <xf numFmtId="0" fontId="26" fillId="56" borderId="103" xfId="87" applyFont="1" applyFill="1" applyBorder="1" applyAlignment="1">
      <alignment horizontal="center" vertical="center"/>
    </xf>
    <xf numFmtId="0" fontId="26" fillId="56" borderId="21" xfId="87" applyFont="1" applyFill="1" applyBorder="1" applyAlignment="1">
      <alignment horizontal="center" vertical="center"/>
    </xf>
    <xf numFmtId="0" fontId="28" fillId="39" borderId="0" xfId="87" applyFont="1" applyFill="1" applyAlignment="1">
      <alignment horizontal="center" vertical="center" wrapText="1"/>
    </xf>
    <xf numFmtId="0" fontId="28" fillId="39" borderId="0" xfId="87" applyFont="1" applyFill="1" applyBorder="1" applyAlignment="1">
      <alignment horizontal="center" vertical="top"/>
    </xf>
    <xf numFmtId="0" fontId="23" fillId="0" borderId="97" xfId="95" applyFont="1" applyBorder="1" applyAlignment="1">
      <alignment horizontal="center" vertical="center" wrapText="1"/>
    </xf>
    <xf numFmtId="0" fontId="23" fillId="0" borderId="32" xfId="95" applyFont="1" applyBorder="1" applyAlignment="1">
      <alignment horizontal="center" vertical="center" wrapText="1"/>
    </xf>
    <xf numFmtId="0" fontId="22" fillId="0" borderId="0" xfId="95" applyFont="1" applyBorder="1" applyAlignment="1">
      <alignment horizontal="center" vertical="center"/>
    </xf>
    <xf numFmtId="0" fontId="9" fillId="0" borderId="12" xfId="95" applyFont="1" applyBorder="1" applyAlignment="1">
      <alignment horizontal="center" vertical="center" wrapText="1"/>
    </xf>
    <xf numFmtId="0" fontId="9" fillId="0" borderId="11" xfId="95" applyFont="1" applyBorder="1" applyAlignment="1">
      <alignment horizontal="center" vertical="center" wrapText="1"/>
    </xf>
    <xf numFmtId="0" fontId="16" fillId="28" borderId="9" xfId="0" applyFont="1" applyFill="1" applyBorder="1" applyAlignment="1">
      <alignment horizontal="center" vertical="center"/>
    </xf>
    <xf numFmtId="0" fontId="15" fillId="28" borderId="9" xfId="0" applyFont="1" applyFill="1" applyBorder="1" applyAlignment="1">
      <alignment horizontal="center" vertical="center"/>
    </xf>
    <xf numFmtId="0" fontId="15" fillId="28" borderId="9" xfId="0" applyFont="1" applyFill="1" applyBorder="1" applyAlignment="1">
      <alignment horizontal="center" vertical="center" wrapText="1"/>
    </xf>
    <xf numFmtId="0" fontId="29" fillId="0" borderId="129" xfId="217" applyFont="1" applyFill="1" applyBorder="1" applyAlignment="1" applyProtection="1">
      <alignment horizontal="center" vertical="center" wrapText="1"/>
    </xf>
    <xf numFmtId="0" fontId="30" fillId="0" borderId="129" xfId="217" applyFont="1" applyFill="1" applyBorder="1" applyAlignment="1" applyProtection="1">
      <alignment horizontal="center" vertical="center" wrapText="1"/>
    </xf>
    <xf numFmtId="0" fontId="32" fillId="0" borderId="108" xfId="217" applyFont="1" applyFill="1" applyBorder="1" applyAlignment="1" applyProtection="1">
      <alignment horizontal="center" vertical="center" wrapText="1"/>
    </xf>
    <xf numFmtId="0" fontId="29" fillId="0" borderId="108" xfId="217" applyFont="1" applyFill="1" applyBorder="1" applyAlignment="1" applyProtection="1">
      <alignment horizontal="center" vertical="center" wrapText="1"/>
    </xf>
    <xf numFmtId="0" fontId="28" fillId="0" borderId="108" xfId="217" applyFont="1" applyFill="1" applyBorder="1" applyAlignment="1">
      <alignment horizontal="center" vertical="center" wrapText="1"/>
    </xf>
    <xf numFmtId="0" fontId="80" fillId="0" borderId="108" xfId="217" applyFont="1" applyFill="1" applyBorder="1" applyAlignment="1" applyProtection="1">
      <alignment horizontal="center" vertical="center" wrapText="1"/>
    </xf>
    <xf numFmtId="0" fontId="28" fillId="57" borderId="108" xfId="217" applyFont="1" applyFill="1" applyBorder="1" applyAlignment="1" applyProtection="1">
      <alignment horizontal="center" vertical="center" wrapText="1"/>
    </xf>
    <xf numFmtId="0" fontId="28" fillId="39" borderId="108" xfId="217" applyFont="1" applyFill="1" applyBorder="1" applyAlignment="1">
      <alignment horizontal="center" vertical="center" wrapText="1"/>
    </xf>
    <xf numFmtId="0" fontId="29" fillId="0" borderId="108" xfId="217" applyFont="1" applyFill="1" applyBorder="1" applyAlignment="1">
      <alignment horizontal="center" vertical="center" wrapText="1"/>
    </xf>
    <xf numFmtId="0" fontId="29" fillId="0" borderId="108" xfId="217" quotePrefix="1" applyFont="1" applyFill="1" applyBorder="1" applyAlignment="1" applyProtection="1">
      <alignment horizontal="center" vertical="center" wrapText="1"/>
    </xf>
    <xf numFmtId="0" fontId="29" fillId="39" borderId="108" xfId="217" applyFont="1" applyFill="1" applyBorder="1" applyAlignment="1" applyProtection="1">
      <alignment horizontal="center" vertical="center" wrapText="1"/>
    </xf>
    <xf numFmtId="0" fontId="28" fillId="39" borderId="132" xfId="217" applyFont="1" applyFill="1" applyBorder="1" applyAlignment="1" applyProtection="1">
      <alignment horizontal="center" vertical="center" wrapText="1"/>
    </xf>
  </cellXfs>
  <cellStyles count="24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20% - Colore 1 2" xfId="153" xr:uid="{00000000-0005-0000-0000-00000C000000}"/>
    <cellStyle name="20% - Colore 2 2" xfId="154" xr:uid="{00000000-0005-0000-0000-00000D000000}"/>
    <cellStyle name="20% - Colore 3 2" xfId="155" xr:uid="{00000000-0005-0000-0000-00000E000000}"/>
    <cellStyle name="20% - Colore 4 2" xfId="156" xr:uid="{00000000-0005-0000-0000-00000F000000}"/>
    <cellStyle name="20% - Colore 5 2" xfId="157" xr:uid="{00000000-0005-0000-0000-000010000000}"/>
    <cellStyle name="20% - Colore 6 2" xfId="158" xr:uid="{00000000-0005-0000-0000-000011000000}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40% - Akzent1" xfId="19" xr:uid="{00000000-0005-0000-0000-000018000000}"/>
    <cellStyle name="40% - Akzent2" xfId="20" xr:uid="{00000000-0005-0000-0000-000019000000}"/>
    <cellStyle name="40% - Akzent3" xfId="21" xr:uid="{00000000-0005-0000-0000-00001A000000}"/>
    <cellStyle name="40% - Akzent4" xfId="22" xr:uid="{00000000-0005-0000-0000-00001B000000}"/>
    <cellStyle name="40% - Akzent5" xfId="23" xr:uid="{00000000-0005-0000-0000-00001C000000}"/>
    <cellStyle name="40% - Akzent6" xfId="24" xr:uid="{00000000-0005-0000-0000-00001D000000}"/>
    <cellStyle name="40% - Colore 1 2" xfId="159" xr:uid="{00000000-0005-0000-0000-00001E000000}"/>
    <cellStyle name="40% - Colore 2 2" xfId="160" xr:uid="{00000000-0005-0000-0000-00001F000000}"/>
    <cellStyle name="40% - Colore 3 2" xfId="161" xr:uid="{00000000-0005-0000-0000-000020000000}"/>
    <cellStyle name="40% - Colore 4 2" xfId="162" xr:uid="{00000000-0005-0000-0000-000021000000}"/>
    <cellStyle name="40% - Colore 5 2" xfId="163" xr:uid="{00000000-0005-0000-0000-000022000000}"/>
    <cellStyle name="40% - Colore 6 2" xfId="164" xr:uid="{00000000-0005-0000-0000-000023000000}"/>
    <cellStyle name="60% - Accent1" xfId="25" xr:uid="{00000000-0005-0000-0000-000024000000}"/>
    <cellStyle name="60% - Accent2" xfId="26" xr:uid="{00000000-0005-0000-0000-000025000000}"/>
    <cellStyle name="60% - Accent3" xfId="27" xr:uid="{00000000-0005-0000-0000-000026000000}"/>
    <cellStyle name="60% - Accent4" xfId="28" xr:uid="{00000000-0005-0000-0000-000027000000}"/>
    <cellStyle name="60% - Accent5" xfId="29" xr:uid="{00000000-0005-0000-0000-000028000000}"/>
    <cellStyle name="60% - Accent6" xfId="30" xr:uid="{00000000-0005-0000-0000-000029000000}"/>
    <cellStyle name="60% - Akzent1" xfId="31" xr:uid="{00000000-0005-0000-0000-00002A000000}"/>
    <cellStyle name="60% - Akzent2" xfId="32" xr:uid="{00000000-0005-0000-0000-00002B000000}"/>
    <cellStyle name="60% - Akzent3" xfId="33" xr:uid="{00000000-0005-0000-0000-00002C000000}"/>
    <cellStyle name="60% - Akzent4" xfId="34" xr:uid="{00000000-0005-0000-0000-00002D000000}"/>
    <cellStyle name="60% - Akzent5" xfId="35" xr:uid="{00000000-0005-0000-0000-00002E000000}"/>
    <cellStyle name="60% - Akzent6" xfId="36" xr:uid="{00000000-0005-0000-0000-00002F000000}"/>
    <cellStyle name="60% - Colore 1 2" xfId="165" xr:uid="{00000000-0005-0000-0000-000030000000}"/>
    <cellStyle name="60% - Colore 2 2" xfId="166" xr:uid="{00000000-0005-0000-0000-000031000000}"/>
    <cellStyle name="60% - Colore 3 2" xfId="167" xr:uid="{00000000-0005-0000-0000-000032000000}"/>
    <cellStyle name="60% - Colore 4 2" xfId="168" xr:uid="{00000000-0005-0000-0000-000033000000}"/>
    <cellStyle name="60% - Colore 5 2" xfId="169" xr:uid="{00000000-0005-0000-0000-000034000000}"/>
    <cellStyle name="60% - Colore 6 2" xfId="170" xr:uid="{00000000-0005-0000-0000-000035000000}"/>
    <cellStyle name="Accent1" xfId="37" xr:uid="{00000000-0005-0000-0000-000036000000}"/>
    <cellStyle name="Accent2" xfId="38" xr:uid="{00000000-0005-0000-0000-000037000000}"/>
    <cellStyle name="Accent3" xfId="39" xr:uid="{00000000-0005-0000-0000-000038000000}"/>
    <cellStyle name="Accent4" xfId="40" xr:uid="{00000000-0005-0000-0000-000039000000}"/>
    <cellStyle name="Accent5" xfId="41" xr:uid="{00000000-0005-0000-0000-00003A000000}"/>
    <cellStyle name="Accent6" xfId="42" xr:uid="{00000000-0005-0000-0000-00003B000000}"/>
    <cellStyle name="Bad" xfId="43" xr:uid="{00000000-0005-0000-0000-00003C000000}"/>
    <cellStyle name="Calcolo 2" xfId="171" xr:uid="{00000000-0005-0000-0000-00003D000000}"/>
    <cellStyle name="Calculation" xfId="44" xr:uid="{00000000-0005-0000-0000-00003E000000}"/>
    <cellStyle name="Cella collegata 2" xfId="172" xr:uid="{00000000-0005-0000-0000-00003F000000}"/>
    <cellStyle name="Cella da controllare 2" xfId="173" xr:uid="{00000000-0005-0000-0000-000040000000}"/>
    <cellStyle name="Check Cell" xfId="45" xr:uid="{00000000-0005-0000-0000-000041000000}"/>
    <cellStyle name="Colore 1 2" xfId="174" xr:uid="{00000000-0005-0000-0000-000042000000}"/>
    <cellStyle name="Colore 2 2" xfId="175" xr:uid="{00000000-0005-0000-0000-000043000000}"/>
    <cellStyle name="Colore 3 2" xfId="176" xr:uid="{00000000-0005-0000-0000-000044000000}"/>
    <cellStyle name="Colore 4 2" xfId="177" xr:uid="{00000000-0005-0000-0000-000045000000}"/>
    <cellStyle name="Colore 5 2" xfId="178" xr:uid="{00000000-0005-0000-0000-000046000000}"/>
    <cellStyle name="Colore 6 2" xfId="179" xr:uid="{00000000-0005-0000-0000-000047000000}"/>
    <cellStyle name="Comma [0]_Marilù (v.0.5)" xfId="46" xr:uid="{00000000-0005-0000-0000-000048000000}"/>
    <cellStyle name="Comma [0]_Marilù (v.0.5) 2" xfId="47" xr:uid="{00000000-0005-0000-0000-000049000000}"/>
    <cellStyle name="Comma 2" xfId="48" xr:uid="{00000000-0005-0000-0000-00004A000000}"/>
    <cellStyle name="Comma 2 2" xfId="103" xr:uid="{00000000-0005-0000-0000-00004B000000}"/>
    <cellStyle name="Comma 2 2 2" xfId="119" xr:uid="{00000000-0005-0000-0000-00004C000000}"/>
    <cellStyle name="Comma 2 2 3" xfId="180" xr:uid="{00000000-0005-0000-0000-00004D000000}"/>
    <cellStyle name="Comma 2 2 4" xfId="218" xr:uid="{F0782578-4DC6-4E40-9BFF-1815092B2FF7}"/>
    <cellStyle name="Comma 2 3" xfId="118" xr:uid="{00000000-0005-0000-0000-00004E000000}"/>
    <cellStyle name="Currency_piano-dei-conti-definitivo-28-12-1998" xfId="49" xr:uid="{00000000-0005-0000-0000-00004F000000}"/>
    <cellStyle name="Dezimal [0] 2" xfId="51" xr:uid="{00000000-0005-0000-0000-000050000000}"/>
    <cellStyle name="Dezimal [0] 2 2" xfId="121" xr:uid="{00000000-0005-0000-0000-000051000000}"/>
    <cellStyle name="Erklärender Text 2" xfId="117" xr:uid="{00000000-0005-0000-0000-000052000000}"/>
    <cellStyle name="Euro" xfId="52" xr:uid="{00000000-0005-0000-0000-000053000000}"/>
    <cellStyle name="Euro 2" xfId="53" xr:uid="{00000000-0005-0000-0000-000054000000}"/>
    <cellStyle name="Euro 2 2" xfId="123" xr:uid="{00000000-0005-0000-0000-000055000000}"/>
    <cellStyle name="Euro 3" xfId="54" xr:uid="{00000000-0005-0000-0000-000056000000}"/>
    <cellStyle name="Euro 3 2" xfId="124" xr:uid="{00000000-0005-0000-0000-000057000000}"/>
    <cellStyle name="Euro 4" xfId="55" xr:uid="{00000000-0005-0000-0000-000058000000}"/>
    <cellStyle name="Euro 4 2" xfId="125" xr:uid="{00000000-0005-0000-0000-000059000000}"/>
    <cellStyle name="Euro 5" xfId="122" xr:uid="{00000000-0005-0000-0000-00005A000000}"/>
    <cellStyle name="Euro_2012-08-07 Anlagen Finanzbedarf 2013 def Version" xfId="56" xr:uid="{00000000-0005-0000-0000-00005B000000}"/>
    <cellStyle name="Explanatory Text" xfId="57" xr:uid="{00000000-0005-0000-0000-00005C000000}"/>
    <cellStyle name="Good" xfId="58" xr:uid="{00000000-0005-0000-0000-00005D000000}"/>
    <cellStyle name="Heading 1" xfId="59" xr:uid="{00000000-0005-0000-0000-00005E000000}"/>
    <cellStyle name="Heading 2" xfId="60" xr:uid="{00000000-0005-0000-0000-00005F000000}"/>
    <cellStyle name="Heading 3" xfId="61" xr:uid="{00000000-0005-0000-0000-000060000000}"/>
    <cellStyle name="Heading 4" xfId="62" xr:uid="{00000000-0005-0000-0000-000061000000}"/>
    <cellStyle name="Input 2" xfId="181" xr:uid="{00000000-0005-0000-0000-000062000000}"/>
    <cellStyle name="Komma 2" xfId="64" xr:uid="{00000000-0005-0000-0000-000063000000}"/>
    <cellStyle name="Komma 2 2" xfId="127" xr:uid="{00000000-0005-0000-0000-000064000000}"/>
    <cellStyle name="Komma 3" xfId="65" xr:uid="{00000000-0005-0000-0000-000065000000}"/>
    <cellStyle name="Komma 3 2" xfId="128" xr:uid="{00000000-0005-0000-0000-000066000000}"/>
    <cellStyle name="Komma 4" xfId="104" xr:uid="{00000000-0005-0000-0000-000067000000}"/>
    <cellStyle name="Komma 4 2" xfId="129" xr:uid="{00000000-0005-0000-0000-000068000000}"/>
    <cellStyle name="Komma 4 3" xfId="182" xr:uid="{00000000-0005-0000-0000-000069000000}"/>
    <cellStyle name="Komma 4 4" xfId="219" xr:uid="{F9A0C5C5-6C7C-423B-AF6C-CCE637BFBAB4}"/>
    <cellStyle name="Linked Cell" xfId="66" xr:uid="{00000000-0005-0000-0000-00006A000000}"/>
    <cellStyle name="Migliaia" xfId="63" builtinId="3"/>
    <cellStyle name="Migliaia (0)_Cartel1" xfId="67" xr:uid="{00000000-0005-0000-0000-00006C000000}"/>
    <cellStyle name="Migliaia [0]" xfId="50" builtinId="6"/>
    <cellStyle name="Migliaia [0] 2" xfId="68" xr:uid="{00000000-0005-0000-0000-00006E000000}"/>
    <cellStyle name="Migliaia [0] 2 2" xfId="130" xr:uid="{00000000-0005-0000-0000-00006F000000}"/>
    <cellStyle name="Migliaia [0] 3" xfId="69" xr:uid="{00000000-0005-0000-0000-000070000000}"/>
    <cellStyle name="Migliaia [0] 3 2" xfId="131" xr:uid="{00000000-0005-0000-0000-000071000000}"/>
    <cellStyle name="Migliaia [0] 3 3" xfId="183" xr:uid="{00000000-0005-0000-0000-000072000000}"/>
    <cellStyle name="Migliaia [0] 3 4" xfId="220" xr:uid="{94788337-D8D0-48D4-8AA7-1105DCCD31D7}"/>
    <cellStyle name="Migliaia [0] 4" xfId="70" xr:uid="{00000000-0005-0000-0000-000073000000}"/>
    <cellStyle name="Migliaia [0] 4 2" xfId="184" xr:uid="{00000000-0005-0000-0000-000074000000}"/>
    <cellStyle name="Migliaia [0] 4 3" xfId="221" xr:uid="{342D4C00-D7A7-4989-956B-4879A57AD6B7}"/>
    <cellStyle name="Migliaia [0] 5" xfId="120" xr:uid="{00000000-0005-0000-0000-000075000000}"/>
    <cellStyle name="Migliaia [0]_Asl 6_Raccordo MONISANIT al 31 dicembre 2007 (v. FINALE del 30.05.2008)" xfId="71" xr:uid="{00000000-0005-0000-0000-000076000000}"/>
    <cellStyle name="Migliaia [0]_Asl 6_Raccordo MONISANIT al 31 dicembre 2007 (v. FINALE del 30.05.2008) 2" xfId="72" xr:uid="{00000000-0005-0000-0000-000077000000}"/>
    <cellStyle name="Migliaia 10" xfId="105" xr:uid="{00000000-0005-0000-0000-000079000000}"/>
    <cellStyle name="Migliaia 10 2" xfId="132" xr:uid="{00000000-0005-0000-0000-00007A000000}"/>
    <cellStyle name="Migliaia 10 3" xfId="185" xr:uid="{00000000-0005-0000-0000-00007B000000}"/>
    <cellStyle name="Migliaia 10 4" xfId="222" xr:uid="{1EA7A252-BF0C-4743-AF98-E084CC7A41C3}"/>
    <cellStyle name="Migliaia 11" xfId="116" xr:uid="{00000000-0005-0000-0000-00007C000000}"/>
    <cellStyle name="Migliaia 11 2" xfId="186" xr:uid="{00000000-0005-0000-0000-00007D000000}"/>
    <cellStyle name="Migliaia 11 3" xfId="223" xr:uid="{F5FCCC86-2EE5-4C11-A2AD-BB224209C2AE}"/>
    <cellStyle name="Migliaia 12" xfId="126" xr:uid="{00000000-0005-0000-0000-00007E000000}"/>
    <cellStyle name="Migliaia 12 2" xfId="187" xr:uid="{00000000-0005-0000-0000-00007F000000}"/>
    <cellStyle name="Migliaia 12 3" xfId="224" xr:uid="{2229E0A7-B8CB-46A7-8FE2-1CA2550D706D}"/>
    <cellStyle name="Migliaia 13" xfId="188" xr:uid="{00000000-0005-0000-0000-000080000000}"/>
    <cellStyle name="Migliaia 13 2" xfId="225" xr:uid="{7B789E2E-2037-4E5B-B31A-9226D4EA10B5}"/>
    <cellStyle name="Migliaia 14" xfId="189" xr:uid="{00000000-0005-0000-0000-000081000000}"/>
    <cellStyle name="Migliaia 14 2" xfId="226" xr:uid="{2EAF4054-3958-4E57-95BB-4738347698B5}"/>
    <cellStyle name="Migliaia 15" xfId="190" xr:uid="{00000000-0005-0000-0000-000082000000}"/>
    <cellStyle name="Migliaia 15 2" xfId="227" xr:uid="{A7A8C59F-0D52-471F-94B1-AA740ECE9898}"/>
    <cellStyle name="Migliaia 16" xfId="191" xr:uid="{00000000-0005-0000-0000-000083000000}"/>
    <cellStyle name="Migliaia 16 2" xfId="228" xr:uid="{AFB9C657-4D41-4238-B339-24ABBC473C5C}"/>
    <cellStyle name="Migliaia 17" xfId="192" xr:uid="{00000000-0005-0000-0000-000084000000}"/>
    <cellStyle name="Migliaia 17 2" xfId="229" xr:uid="{0D8A183E-3E74-46D5-B857-A0BD444DAC52}"/>
    <cellStyle name="Migliaia 18" xfId="216" xr:uid="{8F2111C3-1F13-4453-83E6-6DAA18BB79D7}"/>
    <cellStyle name="Migliaia 19" xfId="240" xr:uid="{910AEEE6-C307-4E7E-AB88-F399D74EA0FA}"/>
    <cellStyle name="Migliaia 2" xfId="73" xr:uid="{00000000-0005-0000-0000-000085000000}"/>
    <cellStyle name="Migliaia 2 2" xfId="133" xr:uid="{00000000-0005-0000-0000-000086000000}"/>
    <cellStyle name="Migliaia 3" xfId="74" xr:uid="{00000000-0005-0000-0000-000087000000}"/>
    <cellStyle name="Migliaia 3 2" xfId="134" xr:uid="{00000000-0005-0000-0000-000088000000}"/>
    <cellStyle name="Migliaia 3 3" xfId="193" xr:uid="{00000000-0005-0000-0000-000089000000}"/>
    <cellStyle name="Migliaia 3 4" xfId="230" xr:uid="{724B33C4-E71F-4328-949C-3D154D435B3E}"/>
    <cellStyle name="Migliaia 4" xfId="106" xr:uid="{00000000-0005-0000-0000-00008A000000}"/>
    <cellStyle name="Migliaia 4 2" xfId="135" xr:uid="{00000000-0005-0000-0000-00008B000000}"/>
    <cellStyle name="Migliaia 4 3" xfId="194" xr:uid="{00000000-0005-0000-0000-00008C000000}"/>
    <cellStyle name="Migliaia 4 4" xfId="231" xr:uid="{BEA7EF61-5A19-444A-B68F-ECE0B597EBD0}"/>
    <cellStyle name="Migliaia 5" xfId="107" xr:uid="{00000000-0005-0000-0000-00008D000000}"/>
    <cellStyle name="Migliaia 5 2" xfId="136" xr:uid="{00000000-0005-0000-0000-00008E000000}"/>
    <cellStyle name="Migliaia 5 3" xfId="195" xr:uid="{00000000-0005-0000-0000-00008F000000}"/>
    <cellStyle name="Migliaia 5 4" xfId="232" xr:uid="{15D3F0A3-95C1-428C-BEA4-B3CA19AF1D42}"/>
    <cellStyle name="Migliaia 6" xfId="108" xr:uid="{00000000-0005-0000-0000-000090000000}"/>
    <cellStyle name="Migliaia 6 2" xfId="137" xr:uid="{00000000-0005-0000-0000-000091000000}"/>
    <cellStyle name="Migliaia 6 3" xfId="196" xr:uid="{00000000-0005-0000-0000-000092000000}"/>
    <cellStyle name="Migliaia 6 4" xfId="233" xr:uid="{9116B012-6AF1-4A8F-BCB1-A3EC2606E6E6}"/>
    <cellStyle name="Migliaia 7" xfId="109" xr:uid="{00000000-0005-0000-0000-000093000000}"/>
    <cellStyle name="Migliaia 7 2" xfId="138" xr:uid="{00000000-0005-0000-0000-000094000000}"/>
    <cellStyle name="Migliaia 7 3" xfId="197" xr:uid="{00000000-0005-0000-0000-000095000000}"/>
    <cellStyle name="Migliaia 7 4" xfId="234" xr:uid="{9B14810A-FBB7-451F-B96C-1147B8FEE02D}"/>
    <cellStyle name="Migliaia 8" xfId="110" xr:uid="{00000000-0005-0000-0000-000096000000}"/>
    <cellStyle name="Migliaia 8 2" xfId="139" xr:uid="{00000000-0005-0000-0000-000097000000}"/>
    <cellStyle name="Migliaia 8 3" xfId="198" xr:uid="{00000000-0005-0000-0000-000098000000}"/>
    <cellStyle name="Migliaia 8 4" xfId="235" xr:uid="{0331934C-AB71-4638-998E-C29A2B994B01}"/>
    <cellStyle name="Migliaia 9" xfId="111" xr:uid="{00000000-0005-0000-0000-000099000000}"/>
    <cellStyle name="Migliaia 9 2" xfId="140" xr:uid="{00000000-0005-0000-0000-00009A000000}"/>
    <cellStyle name="Migliaia 9 3" xfId="199" xr:uid="{00000000-0005-0000-0000-00009B000000}"/>
    <cellStyle name="Migliaia 9 4" xfId="236" xr:uid="{3F2CE3AA-926F-4B14-9F07-C6785727BBDC}"/>
    <cellStyle name="Migliaia_Asl 6_Raccordo MONISANIT al 31 dicembre 2007 (v. FINALE del 30.05.2008) 2" xfId="75" xr:uid="{00000000-0005-0000-0000-00009C000000}"/>
    <cellStyle name="Neutral" xfId="76" xr:uid="{00000000-0005-0000-0000-00009F000000}"/>
    <cellStyle name="Neutral 2" xfId="141" xr:uid="{00000000-0005-0000-0000-0000A0000000}"/>
    <cellStyle name="Neutrale" xfId="237" xr:uid="{DE09D79A-3BA7-431E-933E-1F4D5637D43E}"/>
    <cellStyle name="Neutrale 2" xfId="77" xr:uid="{00000000-0005-0000-0000-0000A1000000}"/>
    <cellStyle name="Normal 2" xfId="78" xr:uid="{00000000-0005-0000-0000-0000A2000000}"/>
    <cellStyle name="Normal 2 2" xfId="142" xr:uid="{00000000-0005-0000-0000-0000A3000000}"/>
    <cellStyle name="Normal_all7_pdc" xfId="79" xr:uid="{00000000-0005-0000-0000-0000A4000000}"/>
    <cellStyle name="Normal_Sheet1 2 2" xfId="217" xr:uid="{D8973440-5505-457D-9740-CED5930184FD}"/>
    <cellStyle name="Normale" xfId="0" builtinId="0"/>
    <cellStyle name="Normale 2" xfId="80" xr:uid="{00000000-0005-0000-0000-0000A7000000}"/>
    <cellStyle name="Normale 2 2" xfId="112" xr:uid="{00000000-0005-0000-0000-0000A8000000}"/>
    <cellStyle name="Normale 2 2 2" xfId="143" xr:uid="{00000000-0005-0000-0000-0000A9000000}"/>
    <cellStyle name="Normale 3" xfId="81" xr:uid="{00000000-0005-0000-0000-0000AA000000}"/>
    <cellStyle name="Normale 3 2" xfId="144" xr:uid="{00000000-0005-0000-0000-0000AB000000}"/>
    <cellStyle name="Normale 3 3" xfId="200" xr:uid="{00000000-0005-0000-0000-0000AC000000}"/>
    <cellStyle name="Normale 4" xfId="82" xr:uid="{00000000-0005-0000-0000-0000AD000000}"/>
    <cellStyle name="Normale 4 2" xfId="145" xr:uid="{00000000-0005-0000-0000-0000AE000000}"/>
    <cellStyle name="Normale 5" xfId="83" xr:uid="{00000000-0005-0000-0000-0000AF000000}"/>
    <cellStyle name="Normale 5 2" xfId="113" xr:uid="{00000000-0005-0000-0000-0000B0000000}"/>
    <cellStyle name="Normale 5 2 2" xfId="146" xr:uid="{00000000-0005-0000-0000-0000B1000000}"/>
    <cellStyle name="Normale 5 3" xfId="201" xr:uid="{00000000-0005-0000-0000-0000B2000000}"/>
    <cellStyle name="Normale 6" xfId="114" xr:uid="{00000000-0005-0000-0000-0000B3000000}"/>
    <cellStyle name="Normale 7" xfId="239" xr:uid="{DB58BCEE-EC19-4C8F-97CA-72C5AD0F0520}"/>
    <cellStyle name="Normale_Asl 6_Raccordo MONISANIT al 31 dicembre 2007 (v. FINALE del 30.05.2008)" xfId="84" xr:uid="{00000000-0005-0000-0000-0000B4000000}"/>
    <cellStyle name="Normale_Asl 6_Raccordo MONISANIT al 31 dicembre 2007 (v. FINALE del 30.05.2008) 2" xfId="85" xr:uid="{00000000-0005-0000-0000-0000B5000000}"/>
    <cellStyle name="Normale_Mattone CE_Budget 2008 (v. 0.5 del 12.02.2008)" xfId="86" xr:uid="{00000000-0005-0000-0000-0000B6000000}"/>
    <cellStyle name="Normale_Mattone CE_Budget 2008 (v. 0.5 del 12.02.2008) 2" xfId="87" xr:uid="{00000000-0005-0000-0000-0000B7000000}"/>
    <cellStyle name="Nota 2" xfId="202" xr:uid="{00000000-0005-0000-0000-0000B9000000}"/>
    <cellStyle name="Note" xfId="88" xr:uid="{00000000-0005-0000-0000-0000BA000000}"/>
    <cellStyle name="Note 2" xfId="89" xr:uid="{00000000-0005-0000-0000-0000BB000000}"/>
    <cellStyle name="Note 2 2" xfId="147" xr:uid="{00000000-0005-0000-0000-0000BC000000}"/>
    <cellStyle name="Note 3" xfId="203" xr:uid="{00000000-0005-0000-0000-0000BD000000}"/>
    <cellStyle name="Output 2" xfId="204" xr:uid="{00000000-0005-0000-0000-0000BE000000}"/>
    <cellStyle name="Percent 2" xfId="90" xr:uid="{00000000-0005-0000-0000-0000BF000000}"/>
    <cellStyle name="Percent 2 2" xfId="148" xr:uid="{00000000-0005-0000-0000-0000C0000000}"/>
    <cellStyle name="Percent 3" xfId="91" xr:uid="{00000000-0005-0000-0000-0000C1000000}"/>
    <cellStyle name="Percent 3 2" xfId="149" xr:uid="{00000000-0005-0000-0000-0000C2000000}"/>
    <cellStyle name="Percentuale 2" xfId="92" xr:uid="{00000000-0005-0000-0000-0000C3000000}"/>
    <cellStyle name="Percentuale 2 2" xfId="150" xr:uid="{00000000-0005-0000-0000-0000C4000000}"/>
    <cellStyle name="Prozent 2" xfId="93" xr:uid="{00000000-0005-0000-0000-0000C5000000}"/>
    <cellStyle name="Prozent 2 2" xfId="151" xr:uid="{00000000-0005-0000-0000-0000C6000000}"/>
    <cellStyle name="Standard 2" xfId="94" xr:uid="{00000000-0005-0000-0000-0000C7000000}"/>
    <cellStyle name="Standard 2 2" xfId="152" xr:uid="{00000000-0005-0000-0000-0000C8000000}"/>
    <cellStyle name="Standard 3" xfId="115" xr:uid="{00000000-0005-0000-0000-0000C9000000}"/>
    <cellStyle name="Standard 3 2" xfId="205" xr:uid="{00000000-0005-0000-0000-0000CA000000}"/>
    <cellStyle name="Standard 3 2 2" xfId="238" xr:uid="{1209049E-8908-4087-AADF-4D748554AB1F}"/>
    <cellStyle name="Standard_Tab. Finanzbedarf PAB1" xfId="95" xr:uid="{00000000-0005-0000-0000-0000CB000000}"/>
    <cellStyle name="Testo avviso 2" xfId="206" xr:uid="{00000000-0005-0000-0000-0000CC000000}"/>
    <cellStyle name="Testo descrittivo 2" xfId="207" xr:uid="{00000000-0005-0000-0000-0000CD000000}"/>
    <cellStyle name="Title" xfId="96" xr:uid="{00000000-0005-0000-0000-0000CE000000}"/>
    <cellStyle name="Titolo" xfId="97" xr:uid="{00000000-0005-0000-0000-0000CF000000}"/>
    <cellStyle name="Titolo 1 2" xfId="209" xr:uid="{00000000-0005-0000-0000-0000D0000000}"/>
    <cellStyle name="Titolo 2 2" xfId="210" xr:uid="{00000000-0005-0000-0000-0000D1000000}"/>
    <cellStyle name="Titolo 3 2" xfId="211" xr:uid="{00000000-0005-0000-0000-0000D2000000}"/>
    <cellStyle name="Titolo 4 2" xfId="212" xr:uid="{00000000-0005-0000-0000-0000D3000000}"/>
    <cellStyle name="Titolo 5" xfId="98" xr:uid="{00000000-0005-0000-0000-0000D4000000}"/>
    <cellStyle name="Titolo 6" xfId="208" xr:uid="{00000000-0005-0000-0000-0000D5000000}"/>
    <cellStyle name="Total" xfId="99" xr:uid="{00000000-0005-0000-0000-0000D6000000}"/>
    <cellStyle name="Totale 2" xfId="213" xr:uid="{00000000-0005-0000-0000-0000D7000000}"/>
    <cellStyle name="Überschrift" xfId="214" xr:uid="{00000000-0005-0000-0000-0000D8000000}"/>
    <cellStyle name="Valore non valido 2" xfId="215" xr:uid="{00000000-0005-0000-0000-0000D9000000}"/>
    <cellStyle name="Valore valido 2" xfId="100" xr:uid="{00000000-0005-0000-0000-0000DA000000}"/>
    <cellStyle name="Valuta (0)_ALLEGA2" xfId="101" xr:uid="{00000000-0005-0000-0000-0000DB000000}"/>
    <cellStyle name="Warning Text" xfId="102" xr:uid="{00000000-0005-0000-0000-0000D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b8597\LOCALS~1\Temp\Tempor&#228;res%20Verzeichnis%201%20f&#252;r%20FINANZIERUNG%202009_Bedarfsermittlung%20Anlagen%20und%20Tabellen.zip\07-01-14%20HHV%20von%20Dani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. 5 intern für Bearbeitung"/>
      <sheetName val="Kapitel laufendeFinanzierung SB"/>
      <sheetName val="alle Kapitel Gesundh.-HH"/>
      <sheetName val="Ipotesi Processi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95"/>
  <sheetViews>
    <sheetView view="pageBreakPreview" zoomScaleNormal="85" zoomScaleSheetLayoutView="100" workbookViewId="0">
      <pane xSplit="5" ySplit="3" topLeftCell="F1078" activePane="bottomRight" state="frozen"/>
      <selection activeCell="C24" sqref="C24"/>
      <selection pane="topRight" activeCell="C24" sqref="C24"/>
      <selection pane="bottomLeft" activeCell="C24" sqref="C24"/>
      <selection pane="bottomRight" activeCell="F1085" sqref="F1085"/>
    </sheetView>
  </sheetViews>
  <sheetFormatPr defaultColWidth="9.140625" defaultRowHeight="12.75" outlineLevelRow="1" outlineLevelCol="1"/>
  <cols>
    <col min="1" max="1" width="12.28515625" style="108" hidden="1" customWidth="1" outlineLevel="1"/>
    <col min="2" max="2" width="4.28515625" style="108" customWidth="1" collapsed="1"/>
    <col min="3" max="3" width="4.5703125" style="108" customWidth="1"/>
    <col min="4" max="4" width="4" style="108" customWidth="1"/>
    <col min="5" max="6" width="46.7109375" style="109" customWidth="1"/>
    <col min="7" max="7" width="12.7109375" style="166" customWidth="1"/>
    <col min="8" max="8" width="13.42578125" style="166" hidden="1" customWidth="1" outlineLevel="1"/>
    <col min="9" max="9" width="39" style="110" hidden="1" customWidth="1" outlineLevel="1"/>
    <col min="10" max="10" width="12.7109375" style="166" customWidth="1" collapsed="1"/>
    <col min="11" max="12" width="36.85546875" style="105" hidden="1" customWidth="1" outlineLevel="1"/>
    <col min="13" max="13" width="2.28515625" style="105" customWidth="1" collapsed="1"/>
    <col min="14" max="14" width="20" style="95" customWidth="1"/>
    <col min="15" max="15" width="20" style="95" customWidth="1" outlineLevel="1"/>
    <col min="16" max="17" width="20" style="95" customWidth="1"/>
    <col min="18" max="19" width="20" style="95" hidden="1" customWidth="1" outlineLevel="1"/>
    <col min="20" max="20" width="17.5703125" style="95" bestFit="1" customWidth="1" collapsed="1"/>
    <col min="21" max="21" width="12.7109375" style="95" customWidth="1"/>
    <col min="22" max="22" width="17.5703125" style="95" bestFit="1" customWidth="1"/>
    <col min="23" max="23" width="12" style="95" customWidth="1"/>
    <col min="24" max="24" width="17.140625" style="95" customWidth="1"/>
    <col min="25" max="25" width="13.28515625" style="95" customWidth="1"/>
    <col min="26" max="26" width="19.140625" style="519" customWidth="1"/>
    <col min="27" max="27" width="19.85546875" style="95" bestFit="1" customWidth="1"/>
    <col min="28" max="28" width="17.140625" style="95" bestFit="1" customWidth="1"/>
    <col min="29" max="16384" width="9.140625" style="95"/>
  </cols>
  <sheetData>
    <row r="1" spans="1:28" s="96" customFormat="1" ht="45" customHeight="1">
      <c r="A1" s="132" t="s">
        <v>3175</v>
      </c>
      <c r="B1" s="610" t="s">
        <v>3176</v>
      </c>
      <c r="C1" s="613" t="s">
        <v>3177</v>
      </c>
      <c r="D1" s="613" t="s">
        <v>3178</v>
      </c>
      <c r="E1" s="616" t="s">
        <v>2424</v>
      </c>
      <c r="F1" s="616" t="s">
        <v>2425</v>
      </c>
      <c r="G1" s="616" t="s">
        <v>2426</v>
      </c>
      <c r="H1" s="616" t="s">
        <v>4650</v>
      </c>
      <c r="I1" s="616" t="s">
        <v>4649</v>
      </c>
      <c r="J1" s="619" t="s">
        <v>4638</v>
      </c>
      <c r="K1" s="622" t="s">
        <v>4637</v>
      </c>
      <c r="L1" s="623" t="s">
        <v>3179</v>
      </c>
      <c r="M1" s="148"/>
      <c r="N1" s="607" t="s">
        <v>3172</v>
      </c>
      <c r="O1" s="608"/>
      <c r="P1" s="608"/>
      <c r="Q1" s="608"/>
      <c r="R1" s="608"/>
      <c r="S1" s="609"/>
      <c r="T1" s="134" t="s">
        <v>3173</v>
      </c>
      <c r="U1" s="134" t="s">
        <v>3174</v>
      </c>
      <c r="V1" s="134" t="s">
        <v>3173</v>
      </c>
      <c r="W1" s="134" t="s">
        <v>3174</v>
      </c>
      <c r="X1" s="134" t="s">
        <v>3173</v>
      </c>
      <c r="Y1" s="134" t="s">
        <v>3174</v>
      </c>
      <c r="Z1" s="518"/>
    </row>
    <row r="2" spans="1:28" s="96" customFormat="1" ht="33" customHeight="1">
      <c r="A2" s="133"/>
      <c r="B2" s="611"/>
      <c r="C2" s="614"/>
      <c r="D2" s="614"/>
      <c r="E2" s="617"/>
      <c r="F2" s="617"/>
      <c r="G2" s="617"/>
      <c r="H2" s="617"/>
      <c r="I2" s="617"/>
      <c r="J2" s="620"/>
      <c r="K2" s="623"/>
      <c r="L2" s="623"/>
      <c r="M2" s="148"/>
      <c r="N2" s="169" t="s">
        <v>3180</v>
      </c>
      <c r="O2" s="170" t="s">
        <v>3181</v>
      </c>
      <c r="P2" s="286" t="s">
        <v>4366</v>
      </c>
      <c r="Q2" s="170" t="s">
        <v>3181</v>
      </c>
      <c r="R2" s="170" t="s">
        <v>3181</v>
      </c>
      <c r="S2" s="171" t="s">
        <v>3181</v>
      </c>
      <c r="T2" s="601" t="str">
        <f>CONCATENATE("Delta                                                                  ",$N2," -                          ",$Q2)</f>
        <v xml:space="preserve">Delta                                                                  Abschluss / Consuntivo  -                          Voranschlag / Preventivo </v>
      </c>
      <c r="U2" s="602"/>
      <c r="V2" s="603" t="str">
        <f>CONCATENATE("Delta                                                                     ",$O2," -                      ",$Q2)</f>
        <v xml:space="preserve">Delta                                                                     Voranschlag / Preventivo  -                      Voranschlag / Preventivo </v>
      </c>
      <c r="W2" s="602"/>
      <c r="X2" s="603" t="str">
        <f>CONCATENATE("Delta                                                                     ",$P2," -                      ",$Q2)</f>
        <v xml:space="preserve">Delta                                                                     Vorabschluss/ Preconsuntivo  -                      Voranschlag / Preventivo </v>
      </c>
      <c r="Y2" s="602"/>
      <c r="Z2" s="518"/>
    </row>
    <row r="3" spans="1:28" s="96" customFormat="1">
      <c r="A3" s="133"/>
      <c r="B3" s="612"/>
      <c r="C3" s="615"/>
      <c r="D3" s="615"/>
      <c r="E3" s="618"/>
      <c r="F3" s="618"/>
      <c r="G3" s="618"/>
      <c r="H3" s="618"/>
      <c r="I3" s="618"/>
      <c r="J3" s="621"/>
      <c r="K3" s="624"/>
      <c r="L3" s="623"/>
      <c r="M3" s="148"/>
      <c r="N3" s="172">
        <v>2018</v>
      </c>
      <c r="O3" s="173">
        <v>2019</v>
      </c>
      <c r="P3" s="173">
        <v>2019</v>
      </c>
      <c r="Q3" s="173">
        <v>2020</v>
      </c>
      <c r="R3" s="173">
        <v>2021</v>
      </c>
      <c r="S3" s="174">
        <v>2022</v>
      </c>
      <c r="T3" s="604" t="str">
        <f>$N3&amp;" - "&amp;$Q3</f>
        <v>2018 - 2020</v>
      </c>
      <c r="U3" s="605"/>
      <c r="V3" s="606" t="str">
        <f>$O3&amp;" - "&amp;$Q3</f>
        <v>2019 - 2020</v>
      </c>
      <c r="W3" s="605"/>
      <c r="X3" s="606" t="str">
        <f>$P3&amp;" - "&amp;$Q3</f>
        <v>2019 - 2020</v>
      </c>
      <c r="Y3" s="605"/>
      <c r="Z3" s="518"/>
    </row>
    <row r="4" spans="1:28">
      <c r="A4" s="116"/>
      <c r="B4" s="152"/>
      <c r="C4" s="153"/>
      <c r="D4" s="153"/>
      <c r="E4" s="154"/>
      <c r="F4" s="155"/>
      <c r="G4" s="165"/>
      <c r="H4" s="165"/>
      <c r="I4" s="156"/>
      <c r="J4" s="167"/>
      <c r="K4" s="157"/>
      <c r="N4" s="158"/>
      <c r="O4" s="159"/>
      <c r="P4" s="159"/>
      <c r="Q4" s="159"/>
      <c r="R4" s="159"/>
      <c r="S4" s="160"/>
      <c r="T4" s="158"/>
      <c r="U4" s="161"/>
      <c r="V4" s="158"/>
      <c r="W4" s="161"/>
      <c r="X4" s="158"/>
      <c r="Y4" s="161"/>
    </row>
    <row r="5" spans="1:28" s="151" customFormat="1" ht="15">
      <c r="A5" s="149"/>
      <c r="B5" s="162"/>
      <c r="C5" s="163"/>
      <c r="D5" s="163"/>
      <c r="E5" s="523" t="s">
        <v>3094</v>
      </c>
      <c r="F5" s="523" t="s">
        <v>3093</v>
      </c>
      <c r="G5" s="525"/>
      <c r="H5" s="525"/>
      <c r="I5" s="526"/>
      <c r="J5" s="527"/>
      <c r="K5" s="528"/>
      <c r="M5" s="150"/>
      <c r="N5" s="309"/>
      <c r="O5" s="310"/>
      <c r="P5" s="310"/>
      <c r="Q5" s="310"/>
      <c r="R5" s="310"/>
      <c r="S5" s="311"/>
      <c r="T5" s="309"/>
      <c r="U5" s="312"/>
      <c r="V5" s="309"/>
      <c r="W5" s="312"/>
      <c r="X5" s="309"/>
      <c r="Y5" s="312"/>
      <c r="Z5" s="519"/>
    </row>
    <row r="6" spans="1:28" ht="21">
      <c r="A6" s="113" t="s">
        <v>3095</v>
      </c>
      <c r="B6" s="135" t="s">
        <v>3189</v>
      </c>
      <c r="C6" s="136" t="s">
        <v>3184</v>
      </c>
      <c r="D6" s="136" t="s">
        <v>3185</v>
      </c>
      <c r="E6" s="529" t="s">
        <v>3096</v>
      </c>
      <c r="F6" s="529" t="s">
        <v>5986</v>
      </c>
      <c r="G6" s="530"/>
      <c r="H6" s="530"/>
      <c r="I6" s="531"/>
      <c r="J6" s="532"/>
      <c r="K6" s="533"/>
      <c r="L6" s="95"/>
      <c r="M6" s="147"/>
      <c r="N6" s="137"/>
      <c r="O6" s="138"/>
      <c r="P6" s="138"/>
      <c r="Q6" s="138"/>
      <c r="R6" s="138"/>
      <c r="S6" s="139"/>
      <c r="T6" s="137"/>
      <c r="U6" s="140"/>
      <c r="V6" s="137"/>
      <c r="W6" s="140"/>
      <c r="X6" s="137"/>
      <c r="Y6" s="140"/>
    </row>
    <row r="7" spans="1:28" ht="26.1" customHeight="1">
      <c r="A7" s="117" t="s">
        <v>3097</v>
      </c>
      <c r="B7" s="127" t="s">
        <v>3189</v>
      </c>
      <c r="C7" s="99" t="s">
        <v>3186</v>
      </c>
      <c r="D7" s="99" t="s">
        <v>3185</v>
      </c>
      <c r="E7" s="534" t="s">
        <v>3098</v>
      </c>
      <c r="F7" s="534" t="s">
        <v>5602</v>
      </c>
      <c r="G7" s="535"/>
      <c r="H7" s="535"/>
      <c r="I7" s="536"/>
      <c r="J7" s="537"/>
      <c r="K7" s="538"/>
      <c r="L7" s="95"/>
      <c r="M7" s="103"/>
      <c r="N7" s="137"/>
      <c r="O7" s="138"/>
      <c r="P7" s="138"/>
      <c r="Q7" s="138"/>
      <c r="R7" s="138"/>
      <c r="S7" s="139"/>
      <c r="T7" s="137"/>
      <c r="U7" s="140"/>
      <c r="V7" s="137"/>
      <c r="W7" s="140"/>
      <c r="X7" s="137"/>
      <c r="Y7" s="140"/>
      <c r="Z7" s="520" t="s">
        <v>5242</v>
      </c>
      <c r="AA7" s="95" t="s">
        <v>5243</v>
      </c>
    </row>
    <row r="8" spans="1:28" ht="33" customHeight="1">
      <c r="A8" s="116" t="s">
        <v>3628</v>
      </c>
      <c r="B8" s="126" t="s">
        <v>3189</v>
      </c>
      <c r="C8" s="98" t="s">
        <v>3186</v>
      </c>
      <c r="D8" s="98" t="s">
        <v>1378</v>
      </c>
      <c r="E8" s="539" t="s">
        <v>3629</v>
      </c>
      <c r="F8" s="540" t="s">
        <v>5408</v>
      </c>
      <c r="G8" s="511" t="s">
        <v>1089</v>
      </c>
      <c r="H8" s="511" t="s">
        <v>3630</v>
      </c>
      <c r="I8" s="541" t="s">
        <v>4935</v>
      </c>
      <c r="J8" s="542" t="s">
        <v>3631</v>
      </c>
      <c r="K8" s="543" t="s">
        <v>3576</v>
      </c>
      <c r="L8" s="95"/>
      <c r="M8" s="104"/>
      <c r="N8" s="137">
        <v>80296331.560000002</v>
      </c>
      <c r="O8" s="138">
        <v>87373226</v>
      </c>
      <c r="P8" s="138">
        <v>87290000</v>
      </c>
      <c r="Q8" s="138">
        <v>91733042.569999993</v>
      </c>
      <c r="R8" s="138">
        <v>98370000</v>
      </c>
      <c r="S8" s="139">
        <v>105265997.76000001</v>
      </c>
      <c r="T8" s="322">
        <f>IF(N8="","",Q8-N8)</f>
        <v>11436711.00999999</v>
      </c>
      <c r="U8" s="140">
        <f>IF(N8=0,"",T8/N8)</f>
        <v>0.14243130150291003</v>
      </c>
      <c r="V8" s="322">
        <f>IF(O8="","",Q8-O8)</f>
        <v>4359816.5699999928</v>
      </c>
      <c r="W8" s="140">
        <f>IF(O8=0,"",V8/O8)</f>
        <v>4.9898770705799428E-2</v>
      </c>
      <c r="X8" s="322">
        <f>IF(P8="","",Q8-P8)</f>
        <v>4443042.5699999928</v>
      </c>
      <c r="Y8" s="140">
        <f>IF(P8=0,"",X8/P8)</f>
        <v>5.0899788864703782E-2</v>
      </c>
      <c r="Z8" s="519">
        <v>65467465.959999993</v>
      </c>
      <c r="AA8" s="111">
        <f>Z8/3*4</f>
        <v>87289954.61333333</v>
      </c>
      <c r="AB8" s="111">
        <f>P8-AA8</f>
        <v>45.386666670441628</v>
      </c>
    </row>
    <row r="9" spans="1:28" ht="33.75">
      <c r="A9" s="120" t="s">
        <v>3632</v>
      </c>
      <c r="B9" s="126" t="s">
        <v>3189</v>
      </c>
      <c r="C9" s="98" t="s">
        <v>3186</v>
      </c>
      <c r="D9" s="98" t="s">
        <v>1398</v>
      </c>
      <c r="E9" s="539" t="s">
        <v>3633</v>
      </c>
      <c r="F9" s="540" t="s">
        <v>4577</v>
      </c>
      <c r="G9" s="511" t="s">
        <v>1089</v>
      </c>
      <c r="H9" s="511" t="s">
        <v>3630</v>
      </c>
      <c r="I9" s="541" t="s">
        <v>4935</v>
      </c>
      <c r="J9" s="542" t="s">
        <v>3631</v>
      </c>
      <c r="K9" s="543" t="s">
        <v>3576</v>
      </c>
      <c r="L9" s="95"/>
      <c r="M9" s="104"/>
      <c r="N9" s="137">
        <v>9373040.129999999</v>
      </c>
      <c r="O9" s="138">
        <v>9900000</v>
      </c>
      <c r="P9" s="138">
        <v>10600000</v>
      </c>
      <c r="Q9" s="138">
        <v>10942000</v>
      </c>
      <c r="R9" s="138">
        <v>11736000</v>
      </c>
      <c r="S9" s="139">
        <v>12586000</v>
      </c>
      <c r="T9" s="322">
        <f t="shared" ref="T9:T73" si="0">IF(N9="","",Q9-N9)</f>
        <v>1568959.870000001</v>
      </c>
      <c r="U9" s="140">
        <f t="shared" ref="U9:U73" si="1">IF(N9=0,"",T9/N9)</f>
        <v>0.1673907129639059</v>
      </c>
      <c r="V9" s="322">
        <f t="shared" ref="V9:V72" si="2">IF(O9="","",Q9-O9)</f>
        <v>1042000</v>
      </c>
      <c r="W9" s="140">
        <f t="shared" ref="W9:W73" si="3">IF(O9=0,"",V9/O9)</f>
        <v>0.10525252525252525</v>
      </c>
      <c r="X9" s="322">
        <f t="shared" ref="X9:X73" si="4">IF(P9="","",Q9-P9)</f>
        <v>342000</v>
      </c>
      <c r="Y9" s="140">
        <f t="shared" ref="Y9:Y73" si="5">IF(P9=0,"",X9/P9)</f>
        <v>3.2264150943396228E-2</v>
      </c>
      <c r="Z9" s="519">
        <v>7949545.2899999991</v>
      </c>
      <c r="AA9" s="111">
        <f t="shared" ref="AA9:AA72" si="6">Z9/3*4</f>
        <v>10599393.719999999</v>
      </c>
      <c r="AB9" s="111">
        <f t="shared" ref="AB9:AB72" si="7">P9-AA9</f>
        <v>606.28000000119209</v>
      </c>
    </row>
    <row r="10" spans="1:28" ht="18" customHeight="1">
      <c r="A10" s="120" t="s">
        <v>3634</v>
      </c>
      <c r="B10" s="126" t="s">
        <v>3189</v>
      </c>
      <c r="C10" s="98" t="s">
        <v>3186</v>
      </c>
      <c r="D10" s="98" t="s">
        <v>1401</v>
      </c>
      <c r="E10" s="539" t="s">
        <v>3635</v>
      </c>
      <c r="F10" s="539" t="s">
        <v>3636</v>
      </c>
      <c r="G10" s="511" t="s">
        <v>1091</v>
      </c>
      <c r="H10" s="511" t="s">
        <v>3637</v>
      </c>
      <c r="I10" s="544" t="s">
        <v>3638</v>
      </c>
      <c r="J10" s="542" t="s">
        <v>3631</v>
      </c>
      <c r="K10" s="543" t="s">
        <v>3576</v>
      </c>
      <c r="L10" s="95"/>
      <c r="M10" s="104"/>
      <c r="N10" s="137">
        <v>1436062.6600000001</v>
      </c>
      <c r="O10" s="138">
        <v>1529000</v>
      </c>
      <c r="P10" s="138">
        <v>1266000</v>
      </c>
      <c r="Q10" s="138">
        <v>1350000</v>
      </c>
      <c r="R10" s="138">
        <v>1350000</v>
      </c>
      <c r="S10" s="139">
        <v>1350000</v>
      </c>
      <c r="T10" s="322">
        <f t="shared" si="0"/>
        <v>-86062.660000000149</v>
      </c>
      <c r="U10" s="140">
        <f t="shared" si="1"/>
        <v>-5.9929599450765009E-2</v>
      </c>
      <c r="V10" s="322">
        <f t="shared" si="2"/>
        <v>-179000</v>
      </c>
      <c r="W10" s="140">
        <f t="shared" si="3"/>
        <v>-0.1170699803793329</v>
      </c>
      <c r="X10" s="322">
        <f t="shared" si="4"/>
        <v>84000</v>
      </c>
      <c r="Y10" s="140">
        <f t="shared" si="5"/>
        <v>6.6350710900473939E-2</v>
      </c>
      <c r="Z10" s="519">
        <v>949729.49</v>
      </c>
      <c r="AA10" s="111">
        <f t="shared" si="6"/>
        <v>1266305.9866666666</v>
      </c>
      <c r="AB10" s="111">
        <f t="shared" si="7"/>
        <v>-305.98666666657664</v>
      </c>
    </row>
    <row r="11" spans="1:28" ht="26.25" customHeight="1">
      <c r="A11" s="116" t="s">
        <v>3639</v>
      </c>
      <c r="B11" s="126" t="s">
        <v>3189</v>
      </c>
      <c r="C11" s="98" t="s">
        <v>3186</v>
      </c>
      <c r="D11" s="98" t="s">
        <v>2835</v>
      </c>
      <c r="E11" s="545" t="s">
        <v>4936</v>
      </c>
      <c r="F11" s="546" t="s">
        <v>5409</v>
      </c>
      <c r="G11" s="512" t="s">
        <v>4740</v>
      </c>
      <c r="H11" s="512" t="s">
        <v>3642</v>
      </c>
      <c r="I11" s="541" t="s">
        <v>4937</v>
      </c>
      <c r="J11" s="542" t="s">
        <v>3631</v>
      </c>
      <c r="K11" s="543" t="s">
        <v>3576</v>
      </c>
      <c r="L11" s="95"/>
      <c r="M11" s="104"/>
      <c r="N11" s="137">
        <v>1731026.1500000001</v>
      </c>
      <c r="O11" s="138">
        <v>1805000</v>
      </c>
      <c r="P11" s="138">
        <v>1805000</v>
      </c>
      <c r="Q11" s="138">
        <v>1859000</v>
      </c>
      <c r="R11" s="138">
        <v>1915000</v>
      </c>
      <c r="S11" s="139">
        <v>1972000</v>
      </c>
      <c r="T11" s="322">
        <f t="shared" si="0"/>
        <v>127973.84999999986</v>
      </c>
      <c r="U11" s="140">
        <f t="shared" si="1"/>
        <v>7.3929472411494099E-2</v>
      </c>
      <c r="V11" s="322">
        <f t="shared" si="2"/>
        <v>54000</v>
      </c>
      <c r="W11" s="140">
        <f t="shared" si="3"/>
        <v>2.9916897506925208E-2</v>
      </c>
      <c r="X11" s="322">
        <f t="shared" si="4"/>
        <v>54000</v>
      </c>
      <c r="Y11" s="140">
        <f t="shared" si="5"/>
        <v>2.9916897506925208E-2</v>
      </c>
      <c r="Z11" s="519">
        <v>1244381.98</v>
      </c>
      <c r="AA11" s="111">
        <f t="shared" si="6"/>
        <v>1659175.9733333334</v>
      </c>
      <c r="AB11" s="111">
        <f t="shared" si="7"/>
        <v>145824.02666666661</v>
      </c>
    </row>
    <row r="12" spans="1:28" ht="24.75" customHeight="1">
      <c r="A12" s="116" t="s">
        <v>3640</v>
      </c>
      <c r="B12" s="126" t="s">
        <v>3189</v>
      </c>
      <c r="C12" s="98" t="s">
        <v>3186</v>
      </c>
      <c r="D12" s="98" t="s">
        <v>3195</v>
      </c>
      <c r="E12" s="545" t="s">
        <v>4938</v>
      </c>
      <c r="F12" s="546" t="s">
        <v>4939</v>
      </c>
      <c r="G12" s="512" t="s">
        <v>1091</v>
      </c>
      <c r="H12" s="512" t="s">
        <v>3637</v>
      </c>
      <c r="I12" s="541" t="s">
        <v>3638</v>
      </c>
      <c r="J12" s="542" t="s">
        <v>3631</v>
      </c>
      <c r="K12" s="543" t="s">
        <v>3576</v>
      </c>
      <c r="L12" s="95"/>
      <c r="M12" s="104"/>
      <c r="N12" s="137">
        <v>125816.85</v>
      </c>
      <c r="O12" s="138">
        <v>140000</v>
      </c>
      <c r="P12" s="138">
        <v>140000</v>
      </c>
      <c r="Q12" s="138">
        <v>147000</v>
      </c>
      <c r="R12" s="138">
        <v>154000</v>
      </c>
      <c r="S12" s="139">
        <v>162000</v>
      </c>
      <c r="T12" s="322">
        <f t="shared" si="0"/>
        <v>21183.149999999994</v>
      </c>
      <c r="U12" s="140">
        <f t="shared" si="1"/>
        <v>0.16836496860317193</v>
      </c>
      <c r="V12" s="322">
        <f t="shared" si="2"/>
        <v>7000</v>
      </c>
      <c r="W12" s="140">
        <f t="shared" si="3"/>
        <v>0.05</v>
      </c>
      <c r="X12" s="322">
        <f t="shared" si="4"/>
        <v>7000</v>
      </c>
      <c r="Y12" s="140">
        <f t="shared" si="5"/>
        <v>0.05</v>
      </c>
      <c r="Z12" s="519">
        <v>143355.27000000002</v>
      </c>
      <c r="AA12" s="111">
        <f t="shared" si="6"/>
        <v>191140.36000000002</v>
      </c>
      <c r="AB12" s="111">
        <f t="shared" si="7"/>
        <v>-51140.360000000015</v>
      </c>
    </row>
    <row r="13" spans="1:28" ht="39" customHeight="1">
      <c r="A13" s="116" t="s">
        <v>3641</v>
      </c>
      <c r="B13" s="100">
        <v>300</v>
      </c>
      <c r="C13" s="168">
        <v>100</v>
      </c>
      <c r="D13" s="168" t="s">
        <v>1372</v>
      </c>
      <c r="E13" s="545" t="s">
        <v>5410</v>
      </c>
      <c r="F13" s="545" t="s">
        <v>5244</v>
      </c>
      <c r="G13" s="512" t="s">
        <v>4745</v>
      </c>
      <c r="H13" s="512" t="s">
        <v>4940</v>
      </c>
      <c r="I13" s="541" t="s">
        <v>4941</v>
      </c>
      <c r="J13" s="542" t="s">
        <v>3631</v>
      </c>
      <c r="K13" s="543" t="s">
        <v>3576</v>
      </c>
      <c r="L13" s="95"/>
      <c r="M13" s="104"/>
      <c r="N13" s="137">
        <v>10744.8</v>
      </c>
      <c r="O13" s="138">
        <v>0</v>
      </c>
      <c r="P13" s="138">
        <v>0</v>
      </c>
      <c r="Q13" s="138">
        <v>0</v>
      </c>
      <c r="R13" s="138">
        <v>0</v>
      </c>
      <c r="S13" s="139">
        <v>0</v>
      </c>
      <c r="T13" s="322">
        <f t="shared" ref="T13" si="8">IF(N13="","",Q13-N13)</f>
        <v>-10744.8</v>
      </c>
      <c r="U13" s="140">
        <f t="shared" ref="U13" si="9">IF(N13=0,"",T13/N13)</f>
        <v>-1</v>
      </c>
      <c r="V13" s="322">
        <f t="shared" si="2"/>
        <v>0</v>
      </c>
      <c r="W13" s="140" t="str">
        <f t="shared" ref="W13" si="10">IF(O13=0,"",V13/O13)</f>
        <v/>
      </c>
      <c r="X13" s="322">
        <f t="shared" ref="X13" si="11">IF(P13="","",Q13-P13)</f>
        <v>0</v>
      </c>
      <c r="Y13" s="140" t="str">
        <f t="shared" ref="Y13" si="12">IF(P13=0,"",X13/P13)</f>
        <v/>
      </c>
      <c r="Z13" s="519">
        <v>0</v>
      </c>
      <c r="AA13" s="111">
        <f t="shared" si="6"/>
        <v>0</v>
      </c>
      <c r="AB13" s="111">
        <f t="shared" si="7"/>
        <v>0</v>
      </c>
    </row>
    <row r="14" spans="1:28" ht="26.25" customHeight="1">
      <c r="A14" s="116" t="s">
        <v>4927</v>
      </c>
      <c r="B14" s="507">
        <v>300</v>
      </c>
      <c r="C14" s="508">
        <v>100</v>
      </c>
      <c r="D14" s="508" t="s">
        <v>1386</v>
      </c>
      <c r="E14" s="547" t="s">
        <v>4928</v>
      </c>
      <c r="F14" s="547" t="s">
        <v>5245</v>
      </c>
      <c r="G14" s="548" t="s">
        <v>4747</v>
      </c>
      <c r="H14" s="548" t="s">
        <v>4929</v>
      </c>
      <c r="I14" s="549" t="s">
        <v>4930</v>
      </c>
      <c r="J14" s="550" t="s">
        <v>3631</v>
      </c>
      <c r="K14" s="551" t="s">
        <v>3576</v>
      </c>
      <c r="L14" s="95"/>
      <c r="M14" s="104"/>
      <c r="N14" s="137">
        <v>0</v>
      </c>
      <c r="O14" s="138">
        <v>0</v>
      </c>
      <c r="P14" s="138">
        <v>0</v>
      </c>
      <c r="Q14" s="138">
        <v>0</v>
      </c>
      <c r="R14" s="138">
        <v>0</v>
      </c>
      <c r="S14" s="139">
        <v>0</v>
      </c>
      <c r="T14" s="322">
        <f t="shared" si="0"/>
        <v>0</v>
      </c>
      <c r="U14" s="140" t="str">
        <f t="shared" si="1"/>
        <v/>
      </c>
      <c r="V14" s="322">
        <f t="shared" si="2"/>
        <v>0</v>
      </c>
      <c r="W14" s="140" t="str">
        <f t="shared" si="3"/>
        <v/>
      </c>
      <c r="X14" s="322">
        <f t="shared" si="4"/>
        <v>0</v>
      </c>
      <c r="Y14" s="140" t="str">
        <f t="shared" si="5"/>
        <v/>
      </c>
      <c r="Z14" s="519">
        <v>0</v>
      </c>
      <c r="AA14" s="111">
        <f t="shared" si="6"/>
        <v>0</v>
      </c>
      <c r="AB14" s="111">
        <f t="shared" si="7"/>
        <v>0</v>
      </c>
    </row>
    <row r="15" spans="1:28" ht="18" customHeight="1">
      <c r="A15" s="117" t="s">
        <v>3643</v>
      </c>
      <c r="B15" s="127" t="s">
        <v>3189</v>
      </c>
      <c r="C15" s="99">
        <v>110</v>
      </c>
      <c r="D15" s="99" t="s">
        <v>3185</v>
      </c>
      <c r="E15" s="534" t="s">
        <v>3644</v>
      </c>
      <c r="F15" s="534" t="s">
        <v>5246</v>
      </c>
      <c r="G15" s="535"/>
      <c r="H15" s="535"/>
      <c r="I15" s="536"/>
      <c r="J15" s="537"/>
      <c r="K15" s="538"/>
      <c r="L15" s="95"/>
      <c r="M15" s="103"/>
      <c r="N15" s="137">
        <v>0</v>
      </c>
      <c r="O15" s="138">
        <v>0</v>
      </c>
      <c r="P15" s="138">
        <v>0</v>
      </c>
      <c r="Q15" s="138">
        <v>0</v>
      </c>
      <c r="R15" s="138">
        <v>0</v>
      </c>
      <c r="S15" s="139">
        <v>0</v>
      </c>
      <c r="T15" s="322">
        <f t="shared" si="0"/>
        <v>0</v>
      </c>
      <c r="U15" s="140" t="str">
        <f t="shared" si="1"/>
        <v/>
      </c>
      <c r="V15" s="322">
        <f t="shared" si="2"/>
        <v>0</v>
      </c>
      <c r="W15" s="140" t="str">
        <f t="shared" si="3"/>
        <v/>
      </c>
      <c r="X15" s="322">
        <f t="shared" si="4"/>
        <v>0</v>
      </c>
      <c r="Y15" s="140" t="str">
        <f t="shared" si="5"/>
        <v/>
      </c>
      <c r="Z15" s="519">
        <v>0</v>
      </c>
      <c r="AA15" s="111">
        <f t="shared" si="6"/>
        <v>0</v>
      </c>
      <c r="AB15" s="111">
        <f t="shared" si="7"/>
        <v>0</v>
      </c>
    </row>
    <row r="16" spans="1:28" ht="36" customHeight="1">
      <c r="A16" s="116" t="s">
        <v>3645</v>
      </c>
      <c r="B16" s="126" t="s">
        <v>3189</v>
      </c>
      <c r="C16" s="98">
        <v>110</v>
      </c>
      <c r="D16" s="98" t="s">
        <v>3183</v>
      </c>
      <c r="E16" s="540" t="s">
        <v>4578</v>
      </c>
      <c r="F16" s="540" t="s">
        <v>5247</v>
      </c>
      <c r="G16" s="511" t="s">
        <v>1098</v>
      </c>
      <c r="H16" s="511" t="s">
        <v>3646</v>
      </c>
      <c r="I16" s="544" t="s">
        <v>3647</v>
      </c>
      <c r="J16" s="542" t="s">
        <v>3631</v>
      </c>
      <c r="K16" s="543" t="s">
        <v>3576</v>
      </c>
      <c r="L16" s="95"/>
      <c r="M16" s="104"/>
      <c r="N16" s="361">
        <v>1000</v>
      </c>
      <c r="O16" s="318">
        <v>1000</v>
      </c>
      <c r="P16" s="318">
        <v>10000</v>
      </c>
      <c r="Q16" s="318">
        <v>44000</v>
      </c>
      <c r="R16" s="318">
        <v>44000</v>
      </c>
      <c r="S16" s="319">
        <v>44000</v>
      </c>
      <c r="T16" s="322">
        <f t="shared" si="0"/>
        <v>43000</v>
      </c>
      <c r="U16" s="140">
        <f t="shared" si="1"/>
        <v>43</v>
      </c>
      <c r="V16" s="322">
        <f t="shared" si="2"/>
        <v>43000</v>
      </c>
      <c r="W16" s="140">
        <f t="shared" si="3"/>
        <v>43</v>
      </c>
      <c r="X16" s="322">
        <f t="shared" si="4"/>
        <v>34000</v>
      </c>
      <c r="Y16" s="140">
        <f t="shared" si="5"/>
        <v>3.4</v>
      </c>
      <c r="Z16" s="519">
        <v>1000</v>
      </c>
      <c r="AA16" s="111">
        <f t="shared" si="6"/>
        <v>1333.3333333333333</v>
      </c>
      <c r="AB16" s="111">
        <f t="shared" si="7"/>
        <v>8666.6666666666661</v>
      </c>
    </row>
    <row r="17" spans="1:28" ht="25.5" customHeight="1">
      <c r="A17" s="116" t="s">
        <v>3648</v>
      </c>
      <c r="B17" s="126" t="s">
        <v>3189</v>
      </c>
      <c r="C17" s="98">
        <v>110</v>
      </c>
      <c r="D17" s="98" t="s">
        <v>3193</v>
      </c>
      <c r="E17" s="540" t="s">
        <v>3649</v>
      </c>
      <c r="F17" s="540" t="s">
        <v>5248</v>
      </c>
      <c r="G17" s="511" t="s">
        <v>1100</v>
      </c>
      <c r="H17" s="511" t="s">
        <v>3650</v>
      </c>
      <c r="I17" s="544" t="s">
        <v>3651</v>
      </c>
      <c r="J17" s="542" t="s">
        <v>3631</v>
      </c>
      <c r="K17" s="543" t="s">
        <v>3576</v>
      </c>
      <c r="L17" s="95"/>
      <c r="M17" s="104"/>
      <c r="N17" s="137">
        <v>0</v>
      </c>
      <c r="O17" s="138">
        <v>0</v>
      </c>
      <c r="P17" s="138">
        <v>0</v>
      </c>
      <c r="Q17" s="138">
        <v>0</v>
      </c>
      <c r="R17" s="138">
        <v>0</v>
      </c>
      <c r="S17" s="139">
        <v>0</v>
      </c>
      <c r="T17" s="322">
        <f t="shared" si="0"/>
        <v>0</v>
      </c>
      <c r="U17" s="140" t="str">
        <f t="shared" si="1"/>
        <v/>
      </c>
      <c r="V17" s="322">
        <f t="shared" si="2"/>
        <v>0</v>
      </c>
      <c r="W17" s="140" t="str">
        <f t="shared" si="3"/>
        <v/>
      </c>
      <c r="X17" s="322">
        <f t="shared" si="4"/>
        <v>0</v>
      </c>
      <c r="Y17" s="140" t="str">
        <f t="shared" si="5"/>
        <v/>
      </c>
      <c r="Z17" s="519">
        <v>0</v>
      </c>
      <c r="AA17" s="111">
        <f t="shared" si="6"/>
        <v>0</v>
      </c>
      <c r="AB17" s="111">
        <f t="shared" si="7"/>
        <v>0</v>
      </c>
    </row>
    <row r="18" spans="1:28" ht="18" customHeight="1">
      <c r="A18" s="117" t="s">
        <v>2511</v>
      </c>
      <c r="B18" s="127" t="s">
        <v>3189</v>
      </c>
      <c r="C18" s="99" t="s">
        <v>2759</v>
      </c>
      <c r="D18" s="99" t="s">
        <v>3185</v>
      </c>
      <c r="E18" s="534" t="s">
        <v>2513</v>
      </c>
      <c r="F18" s="534" t="s">
        <v>2512</v>
      </c>
      <c r="G18" s="511"/>
      <c r="H18" s="511"/>
      <c r="I18" s="544"/>
      <c r="J18" s="537"/>
      <c r="K18" s="538"/>
      <c r="L18" s="95"/>
      <c r="M18" s="103"/>
      <c r="N18" s="137">
        <v>0</v>
      </c>
      <c r="O18" s="138">
        <v>0</v>
      </c>
      <c r="P18" s="138">
        <v>0</v>
      </c>
      <c r="Q18" s="138">
        <v>0</v>
      </c>
      <c r="R18" s="138">
        <v>0</v>
      </c>
      <c r="S18" s="139">
        <v>0</v>
      </c>
      <c r="T18" s="322">
        <f t="shared" si="0"/>
        <v>0</v>
      </c>
      <c r="U18" s="140" t="str">
        <f t="shared" si="1"/>
        <v/>
      </c>
      <c r="V18" s="322">
        <f t="shared" si="2"/>
        <v>0</v>
      </c>
      <c r="W18" s="140" t="str">
        <f t="shared" si="3"/>
        <v/>
      </c>
      <c r="X18" s="322">
        <f t="shared" si="4"/>
        <v>0</v>
      </c>
      <c r="Y18" s="140" t="str">
        <f t="shared" si="5"/>
        <v/>
      </c>
      <c r="Z18" s="519">
        <v>0</v>
      </c>
      <c r="AA18" s="111">
        <f t="shared" si="6"/>
        <v>0</v>
      </c>
      <c r="AB18" s="111">
        <f t="shared" si="7"/>
        <v>0</v>
      </c>
    </row>
    <row r="19" spans="1:28" ht="18" customHeight="1">
      <c r="A19" s="116" t="s">
        <v>2514</v>
      </c>
      <c r="B19" s="126" t="s">
        <v>3189</v>
      </c>
      <c r="C19" s="98" t="s">
        <v>2759</v>
      </c>
      <c r="D19" s="98" t="s">
        <v>3183</v>
      </c>
      <c r="E19" s="540" t="s">
        <v>2513</v>
      </c>
      <c r="F19" s="540" t="s">
        <v>2512</v>
      </c>
      <c r="G19" s="511" t="s">
        <v>1110</v>
      </c>
      <c r="H19" s="511" t="s">
        <v>3652</v>
      </c>
      <c r="I19" s="544" t="s">
        <v>3653</v>
      </c>
      <c r="J19" s="542" t="s">
        <v>3631</v>
      </c>
      <c r="K19" s="543" t="s">
        <v>3576</v>
      </c>
      <c r="L19" s="95"/>
      <c r="M19" s="104"/>
      <c r="N19" s="137">
        <v>764227.72</v>
      </c>
      <c r="O19" s="138">
        <v>766000</v>
      </c>
      <c r="P19" s="138">
        <v>817000</v>
      </c>
      <c r="Q19" s="138">
        <v>866000</v>
      </c>
      <c r="R19" s="138">
        <v>918000</v>
      </c>
      <c r="S19" s="139">
        <v>973000</v>
      </c>
      <c r="T19" s="322">
        <f t="shared" si="0"/>
        <v>101772.28000000003</v>
      </c>
      <c r="U19" s="140">
        <f t="shared" si="1"/>
        <v>0.13317009752014758</v>
      </c>
      <c r="V19" s="322">
        <f t="shared" si="2"/>
        <v>100000</v>
      </c>
      <c r="W19" s="140">
        <f t="shared" si="3"/>
        <v>0.13054830287206268</v>
      </c>
      <c r="X19" s="322">
        <f t="shared" si="4"/>
        <v>49000</v>
      </c>
      <c r="Y19" s="140">
        <f t="shared" si="5"/>
        <v>5.9975520195838433E-2</v>
      </c>
      <c r="Z19" s="519">
        <v>579176.48</v>
      </c>
      <c r="AA19" s="111">
        <f t="shared" si="6"/>
        <v>772235.30666666664</v>
      </c>
      <c r="AB19" s="111">
        <f t="shared" si="7"/>
        <v>44764.693333333358</v>
      </c>
    </row>
    <row r="20" spans="1:28" ht="21">
      <c r="A20" s="117" t="s">
        <v>2515</v>
      </c>
      <c r="B20" s="127" t="s">
        <v>3189</v>
      </c>
      <c r="C20" s="99" t="s">
        <v>3187</v>
      </c>
      <c r="D20" s="99" t="s">
        <v>3185</v>
      </c>
      <c r="E20" s="534" t="s">
        <v>2516</v>
      </c>
      <c r="F20" s="534" t="s">
        <v>5249</v>
      </c>
      <c r="G20" s="511"/>
      <c r="H20" s="511"/>
      <c r="I20" s="544"/>
      <c r="J20" s="542"/>
      <c r="K20" s="538"/>
      <c r="L20" s="95"/>
      <c r="M20" s="103"/>
      <c r="N20" s="137">
        <v>0</v>
      </c>
      <c r="O20" s="138">
        <v>0</v>
      </c>
      <c r="P20" s="138">
        <v>0</v>
      </c>
      <c r="Q20" s="138">
        <v>0</v>
      </c>
      <c r="R20" s="138">
        <v>0</v>
      </c>
      <c r="S20" s="139">
        <v>0</v>
      </c>
      <c r="T20" s="322">
        <f t="shared" si="0"/>
        <v>0</v>
      </c>
      <c r="U20" s="140" t="str">
        <f t="shared" si="1"/>
        <v/>
      </c>
      <c r="V20" s="322">
        <f t="shared" si="2"/>
        <v>0</v>
      </c>
      <c r="W20" s="140" t="str">
        <f t="shared" si="3"/>
        <v/>
      </c>
      <c r="X20" s="322">
        <f t="shared" si="4"/>
        <v>0</v>
      </c>
      <c r="Y20" s="140" t="str">
        <f t="shared" si="5"/>
        <v/>
      </c>
      <c r="Z20" s="519">
        <v>0</v>
      </c>
      <c r="AA20" s="111">
        <f t="shared" si="6"/>
        <v>0</v>
      </c>
      <c r="AB20" s="111">
        <f t="shared" si="7"/>
        <v>0</v>
      </c>
    </row>
    <row r="21" spans="1:28" ht="18" customHeight="1">
      <c r="A21" s="116" t="s">
        <v>3654</v>
      </c>
      <c r="B21" s="126" t="s">
        <v>3189</v>
      </c>
      <c r="C21" s="98" t="s">
        <v>3187</v>
      </c>
      <c r="D21" s="98" t="s">
        <v>1378</v>
      </c>
      <c r="E21" s="540" t="s">
        <v>3655</v>
      </c>
      <c r="F21" s="540" t="s">
        <v>3656</v>
      </c>
      <c r="G21" s="511" t="s">
        <v>1112</v>
      </c>
      <c r="H21" s="511" t="s">
        <v>3657</v>
      </c>
      <c r="I21" s="544" t="s">
        <v>3658</v>
      </c>
      <c r="J21" s="542" t="s">
        <v>3631</v>
      </c>
      <c r="K21" s="543" t="s">
        <v>3576</v>
      </c>
      <c r="L21" s="95"/>
      <c r="M21" s="104"/>
      <c r="N21" s="137">
        <v>6128103.29</v>
      </c>
      <c r="O21" s="138">
        <v>6800000</v>
      </c>
      <c r="P21" s="138">
        <v>6939000</v>
      </c>
      <c r="Q21" s="138">
        <v>7633000</v>
      </c>
      <c r="R21" s="138">
        <v>8396000</v>
      </c>
      <c r="S21" s="139">
        <v>9236000</v>
      </c>
      <c r="T21" s="322">
        <f t="shared" si="0"/>
        <v>1504896.71</v>
      </c>
      <c r="U21" s="140">
        <f t="shared" si="1"/>
        <v>0.24557300012480696</v>
      </c>
      <c r="V21" s="322">
        <f t="shared" si="2"/>
        <v>833000</v>
      </c>
      <c r="W21" s="140">
        <f t="shared" si="3"/>
        <v>0.1225</v>
      </c>
      <c r="X21" s="322">
        <f t="shared" si="4"/>
        <v>694000</v>
      </c>
      <c r="Y21" s="140">
        <f t="shared" si="5"/>
        <v>0.10001441129845799</v>
      </c>
      <c r="Z21" s="519">
        <v>5203844.41</v>
      </c>
      <c r="AA21" s="111">
        <f t="shared" si="6"/>
        <v>6938459.2133333338</v>
      </c>
      <c r="AB21" s="111">
        <f t="shared" si="7"/>
        <v>540.78666666615754</v>
      </c>
    </row>
    <row r="22" spans="1:28" ht="18" customHeight="1">
      <c r="A22" s="117" t="s">
        <v>3659</v>
      </c>
      <c r="B22" s="127" t="s">
        <v>3189</v>
      </c>
      <c r="C22" s="99" t="s">
        <v>2553</v>
      </c>
      <c r="D22" s="99" t="s">
        <v>3185</v>
      </c>
      <c r="E22" s="534" t="s">
        <v>3660</v>
      </c>
      <c r="F22" s="534" t="s">
        <v>3663</v>
      </c>
      <c r="G22" s="511"/>
      <c r="H22" s="511"/>
      <c r="I22" s="544"/>
      <c r="J22" s="542"/>
      <c r="K22" s="543"/>
      <c r="L22" s="95"/>
      <c r="M22" s="104"/>
      <c r="N22" s="137">
        <v>0</v>
      </c>
      <c r="O22" s="138">
        <v>0</v>
      </c>
      <c r="P22" s="138">
        <v>0</v>
      </c>
      <c r="Q22" s="138">
        <v>0</v>
      </c>
      <c r="R22" s="138">
        <v>0</v>
      </c>
      <c r="S22" s="139">
        <v>0</v>
      </c>
      <c r="T22" s="322">
        <f t="shared" si="0"/>
        <v>0</v>
      </c>
      <c r="U22" s="140" t="str">
        <f t="shared" si="1"/>
        <v/>
      </c>
      <c r="V22" s="322">
        <f t="shared" si="2"/>
        <v>0</v>
      </c>
      <c r="W22" s="140" t="str">
        <f t="shared" si="3"/>
        <v/>
      </c>
      <c r="X22" s="322">
        <f t="shared" si="4"/>
        <v>0</v>
      </c>
      <c r="Y22" s="140" t="str">
        <f t="shared" si="5"/>
        <v/>
      </c>
      <c r="Z22" s="519">
        <v>0</v>
      </c>
      <c r="AA22" s="111">
        <f t="shared" si="6"/>
        <v>0</v>
      </c>
      <c r="AB22" s="111">
        <f t="shared" si="7"/>
        <v>0</v>
      </c>
    </row>
    <row r="23" spans="1:28" ht="18" customHeight="1">
      <c r="A23" s="116" t="s">
        <v>3661</v>
      </c>
      <c r="B23" s="126" t="s">
        <v>3189</v>
      </c>
      <c r="C23" s="98" t="s">
        <v>2553</v>
      </c>
      <c r="D23" s="98" t="s">
        <v>3183</v>
      </c>
      <c r="E23" s="540" t="s">
        <v>3662</v>
      </c>
      <c r="F23" s="540" t="s">
        <v>3663</v>
      </c>
      <c r="G23" s="511" t="s">
        <v>1114</v>
      </c>
      <c r="H23" s="511" t="s">
        <v>3664</v>
      </c>
      <c r="I23" s="544" t="s">
        <v>2469</v>
      </c>
      <c r="J23" s="542" t="s">
        <v>3631</v>
      </c>
      <c r="K23" s="543" t="s">
        <v>3576</v>
      </c>
      <c r="L23" s="95"/>
      <c r="M23" s="104"/>
      <c r="N23" s="137">
        <v>89249.23000000001</v>
      </c>
      <c r="O23" s="138">
        <v>100000</v>
      </c>
      <c r="P23" s="138">
        <v>100000</v>
      </c>
      <c r="Q23" s="138">
        <v>105000</v>
      </c>
      <c r="R23" s="138">
        <v>110000</v>
      </c>
      <c r="S23" s="139">
        <v>116000</v>
      </c>
      <c r="T23" s="322">
        <f t="shared" si="0"/>
        <v>15750.76999999999</v>
      </c>
      <c r="U23" s="140">
        <f t="shared" si="1"/>
        <v>0.17648073826519273</v>
      </c>
      <c r="V23" s="322">
        <f t="shared" si="2"/>
        <v>5000</v>
      </c>
      <c r="W23" s="140">
        <f t="shared" si="3"/>
        <v>0.05</v>
      </c>
      <c r="X23" s="322">
        <f t="shared" si="4"/>
        <v>5000</v>
      </c>
      <c r="Y23" s="140">
        <f t="shared" si="5"/>
        <v>0.05</v>
      </c>
      <c r="Z23" s="519">
        <v>74929.94</v>
      </c>
      <c r="AA23" s="111">
        <f t="shared" si="6"/>
        <v>99906.58666666667</v>
      </c>
      <c r="AB23" s="111">
        <f t="shared" si="7"/>
        <v>93.413333333330229</v>
      </c>
    </row>
    <row r="24" spans="1:28" ht="18" customHeight="1">
      <c r="A24" s="117" t="s">
        <v>3665</v>
      </c>
      <c r="B24" s="127" t="s">
        <v>3189</v>
      </c>
      <c r="C24" s="99" t="s">
        <v>1263</v>
      </c>
      <c r="D24" s="99" t="s">
        <v>3185</v>
      </c>
      <c r="E24" s="534" t="s">
        <v>3666</v>
      </c>
      <c r="F24" s="534" t="s">
        <v>3667</v>
      </c>
      <c r="G24" s="552"/>
      <c r="H24" s="552"/>
      <c r="I24" s="553"/>
      <c r="J24" s="537"/>
      <c r="K24" s="538"/>
      <c r="L24" s="95"/>
      <c r="M24" s="103"/>
      <c r="N24" s="137">
        <v>0</v>
      </c>
      <c r="O24" s="138">
        <v>0</v>
      </c>
      <c r="P24" s="138">
        <v>0</v>
      </c>
      <c r="Q24" s="138">
        <v>0</v>
      </c>
      <c r="R24" s="138">
        <v>0</v>
      </c>
      <c r="S24" s="139">
        <v>0</v>
      </c>
      <c r="T24" s="322">
        <f t="shared" si="0"/>
        <v>0</v>
      </c>
      <c r="U24" s="140" t="str">
        <f t="shared" si="1"/>
        <v/>
      </c>
      <c r="V24" s="322">
        <f t="shared" si="2"/>
        <v>0</v>
      </c>
      <c r="W24" s="140" t="str">
        <f t="shared" si="3"/>
        <v/>
      </c>
      <c r="X24" s="322">
        <f t="shared" si="4"/>
        <v>0</v>
      </c>
      <c r="Y24" s="140" t="str">
        <f t="shared" si="5"/>
        <v/>
      </c>
      <c r="Z24" s="519">
        <v>0</v>
      </c>
      <c r="AA24" s="111">
        <f t="shared" si="6"/>
        <v>0</v>
      </c>
      <c r="AB24" s="111">
        <f t="shared" si="7"/>
        <v>0</v>
      </c>
    </row>
    <row r="25" spans="1:28" ht="18" customHeight="1">
      <c r="A25" s="116" t="s">
        <v>3668</v>
      </c>
      <c r="B25" s="126" t="s">
        <v>3189</v>
      </c>
      <c r="C25" s="98" t="s">
        <v>1263</v>
      </c>
      <c r="D25" s="98" t="s">
        <v>3183</v>
      </c>
      <c r="E25" s="540" t="s">
        <v>3666</v>
      </c>
      <c r="F25" s="540" t="s">
        <v>3667</v>
      </c>
      <c r="G25" s="511" t="s">
        <v>1104</v>
      </c>
      <c r="H25" s="511" t="s">
        <v>3669</v>
      </c>
      <c r="I25" s="544" t="s">
        <v>2466</v>
      </c>
      <c r="J25" s="542" t="s">
        <v>3631</v>
      </c>
      <c r="K25" s="543" t="s">
        <v>3576</v>
      </c>
      <c r="L25" s="95"/>
      <c r="M25" s="104"/>
      <c r="N25" s="137">
        <v>49469630.220000006</v>
      </c>
      <c r="O25" s="138">
        <v>51330000</v>
      </c>
      <c r="P25" s="138">
        <v>50460000</v>
      </c>
      <c r="Q25" s="138">
        <v>51774000</v>
      </c>
      <c r="R25" s="138">
        <v>53533000</v>
      </c>
      <c r="S25" s="139">
        <v>54939000</v>
      </c>
      <c r="T25" s="322">
        <f t="shared" si="0"/>
        <v>2304369.7799999937</v>
      </c>
      <c r="U25" s="140">
        <f t="shared" si="1"/>
        <v>4.658150404100582E-2</v>
      </c>
      <c r="V25" s="322">
        <f t="shared" si="2"/>
        <v>444000</v>
      </c>
      <c r="W25" s="140">
        <f t="shared" si="3"/>
        <v>8.649912331969609E-3</v>
      </c>
      <c r="X25" s="322">
        <f t="shared" si="4"/>
        <v>1314000</v>
      </c>
      <c r="Y25" s="140">
        <f t="shared" si="5"/>
        <v>2.6040428061831152E-2</v>
      </c>
      <c r="Z25" s="519">
        <v>37744994.539999999</v>
      </c>
      <c r="AA25" s="111">
        <f t="shared" si="6"/>
        <v>50326659.386666663</v>
      </c>
      <c r="AB25" s="111">
        <f t="shared" si="7"/>
        <v>133340.61333333701</v>
      </c>
    </row>
    <row r="26" spans="1:28" ht="18" customHeight="1">
      <c r="A26" s="116" t="s">
        <v>3670</v>
      </c>
      <c r="B26" s="126" t="s">
        <v>3189</v>
      </c>
      <c r="C26" s="98" t="s">
        <v>1263</v>
      </c>
      <c r="D26" s="98" t="s">
        <v>3193</v>
      </c>
      <c r="E26" s="540" t="s">
        <v>3671</v>
      </c>
      <c r="F26" s="540" t="s">
        <v>3672</v>
      </c>
      <c r="G26" s="511" t="s">
        <v>1106</v>
      </c>
      <c r="H26" s="511" t="s">
        <v>3673</v>
      </c>
      <c r="I26" s="544" t="s">
        <v>3674</v>
      </c>
      <c r="J26" s="542" t="s">
        <v>3631</v>
      </c>
      <c r="K26" s="543" t="s">
        <v>3576</v>
      </c>
      <c r="L26" s="95"/>
      <c r="M26" s="104"/>
      <c r="N26" s="137">
        <v>2832505.36</v>
      </c>
      <c r="O26" s="138">
        <v>2845000</v>
      </c>
      <c r="P26" s="138">
        <v>2620000</v>
      </c>
      <c r="Q26" s="138">
        <v>2699000</v>
      </c>
      <c r="R26" s="138">
        <v>2780000</v>
      </c>
      <c r="S26" s="139">
        <v>2863000</v>
      </c>
      <c r="T26" s="322">
        <f t="shared" si="0"/>
        <v>-133505.35999999987</v>
      </c>
      <c r="U26" s="140">
        <f t="shared" si="1"/>
        <v>-4.7133312397332892E-2</v>
      </c>
      <c r="V26" s="322">
        <f t="shared" si="2"/>
        <v>-146000</v>
      </c>
      <c r="W26" s="140">
        <f t="shared" si="3"/>
        <v>-5.1318101933216169E-2</v>
      </c>
      <c r="X26" s="322">
        <f t="shared" si="4"/>
        <v>79000</v>
      </c>
      <c r="Y26" s="140">
        <f t="shared" si="5"/>
        <v>3.015267175572519E-2</v>
      </c>
      <c r="Z26" s="519">
        <v>2065018.2100000004</v>
      </c>
      <c r="AA26" s="111">
        <f t="shared" si="6"/>
        <v>2753357.6133333337</v>
      </c>
      <c r="AB26" s="111">
        <f t="shared" si="7"/>
        <v>-133357.61333333375</v>
      </c>
    </row>
    <row r="27" spans="1:28" ht="18" customHeight="1">
      <c r="A27" s="116" t="s">
        <v>3675</v>
      </c>
      <c r="B27" s="126" t="s">
        <v>3189</v>
      </c>
      <c r="C27" s="98" t="s">
        <v>1263</v>
      </c>
      <c r="D27" s="98" t="s">
        <v>2631</v>
      </c>
      <c r="E27" s="540" t="s">
        <v>3676</v>
      </c>
      <c r="F27" s="540" t="s">
        <v>3677</v>
      </c>
      <c r="G27" s="511" t="s">
        <v>1108</v>
      </c>
      <c r="H27" s="511" t="s">
        <v>3678</v>
      </c>
      <c r="I27" s="544" t="s">
        <v>3679</v>
      </c>
      <c r="J27" s="542" t="s">
        <v>3631</v>
      </c>
      <c r="K27" s="543" t="s">
        <v>3576</v>
      </c>
      <c r="L27" s="95"/>
      <c r="M27" s="104"/>
      <c r="N27" s="137">
        <v>15584443</v>
      </c>
      <c r="O27" s="138">
        <v>15800000</v>
      </c>
      <c r="P27" s="138">
        <v>16050000</v>
      </c>
      <c r="Q27" s="138">
        <v>16432000</v>
      </c>
      <c r="R27" s="138">
        <v>17028000</v>
      </c>
      <c r="S27" s="139">
        <v>17439000</v>
      </c>
      <c r="T27" s="322">
        <f t="shared" si="0"/>
        <v>847557</v>
      </c>
      <c r="U27" s="140">
        <f t="shared" si="1"/>
        <v>5.4384811828051861E-2</v>
      </c>
      <c r="V27" s="322">
        <f t="shared" si="2"/>
        <v>632000</v>
      </c>
      <c r="W27" s="140">
        <f t="shared" si="3"/>
        <v>0.04</v>
      </c>
      <c r="X27" s="322">
        <f t="shared" si="4"/>
        <v>382000</v>
      </c>
      <c r="Y27" s="140">
        <f t="shared" si="5"/>
        <v>2.3800623052959501E-2</v>
      </c>
      <c r="Z27" s="519">
        <v>11563908.609999999</v>
      </c>
      <c r="AA27" s="111">
        <f t="shared" si="6"/>
        <v>15418544.813333333</v>
      </c>
      <c r="AB27" s="521">
        <f t="shared" si="7"/>
        <v>631455.18666666746</v>
      </c>
    </row>
    <row r="28" spans="1:28" ht="31.5">
      <c r="A28" s="116" t="s">
        <v>4627</v>
      </c>
      <c r="B28" s="126" t="s">
        <v>3189</v>
      </c>
      <c r="C28" s="98" t="s">
        <v>1263</v>
      </c>
      <c r="D28" s="98" t="s">
        <v>1552</v>
      </c>
      <c r="E28" s="540" t="s">
        <v>4628</v>
      </c>
      <c r="F28" s="540" t="s">
        <v>5411</v>
      </c>
      <c r="G28" s="511" t="s">
        <v>1108</v>
      </c>
      <c r="H28" s="511" t="s">
        <v>3678</v>
      </c>
      <c r="I28" s="544" t="s">
        <v>3679</v>
      </c>
      <c r="J28" s="542" t="s">
        <v>3631</v>
      </c>
      <c r="K28" s="543" t="s">
        <v>3576</v>
      </c>
      <c r="L28" s="95"/>
      <c r="M28" s="104"/>
      <c r="N28" s="137">
        <v>13859.2</v>
      </c>
      <c r="O28" s="138">
        <v>190000</v>
      </c>
      <c r="P28" s="138">
        <v>20000</v>
      </c>
      <c r="Q28" s="138">
        <v>100000</v>
      </c>
      <c r="R28" s="138">
        <v>250000</v>
      </c>
      <c r="S28" s="139">
        <v>250000</v>
      </c>
      <c r="T28" s="322">
        <f t="shared" si="0"/>
        <v>86140.800000000003</v>
      </c>
      <c r="U28" s="140">
        <f t="shared" si="1"/>
        <v>6.2154236896790582</v>
      </c>
      <c r="V28" s="322">
        <f t="shared" si="2"/>
        <v>-90000</v>
      </c>
      <c r="W28" s="140">
        <f t="shared" si="3"/>
        <v>-0.47368421052631576</v>
      </c>
      <c r="X28" s="322">
        <f t="shared" si="4"/>
        <v>80000</v>
      </c>
      <c r="Y28" s="140">
        <f t="shared" si="5"/>
        <v>4</v>
      </c>
      <c r="Z28" s="519">
        <v>15131.76</v>
      </c>
      <c r="AA28" s="111">
        <f t="shared" si="6"/>
        <v>20175.68</v>
      </c>
      <c r="AB28" s="111">
        <f t="shared" si="7"/>
        <v>-175.68000000000029</v>
      </c>
    </row>
    <row r="29" spans="1:28" ht="25.5" customHeight="1">
      <c r="A29" s="117" t="s">
        <v>2517</v>
      </c>
      <c r="B29" s="127" t="s">
        <v>3189</v>
      </c>
      <c r="C29" s="99" t="s">
        <v>3194</v>
      </c>
      <c r="D29" s="99" t="s">
        <v>3185</v>
      </c>
      <c r="E29" s="534" t="s">
        <v>3100</v>
      </c>
      <c r="F29" s="534" t="s">
        <v>5250</v>
      </c>
      <c r="G29" s="511"/>
      <c r="H29" s="511"/>
      <c r="I29" s="544"/>
      <c r="J29" s="537"/>
      <c r="K29" s="538"/>
      <c r="L29" s="95"/>
      <c r="M29" s="103"/>
      <c r="N29" s="137">
        <v>0</v>
      </c>
      <c r="O29" s="138">
        <v>0</v>
      </c>
      <c r="P29" s="138">
        <v>0</v>
      </c>
      <c r="Q29" s="138">
        <v>0</v>
      </c>
      <c r="R29" s="138">
        <v>0</v>
      </c>
      <c r="S29" s="139">
        <v>0</v>
      </c>
      <c r="T29" s="322">
        <f t="shared" si="0"/>
        <v>0</v>
      </c>
      <c r="U29" s="140" t="str">
        <f t="shared" si="1"/>
        <v/>
      </c>
      <c r="V29" s="322">
        <f t="shared" si="2"/>
        <v>0</v>
      </c>
      <c r="W29" s="140" t="str">
        <f t="shared" si="3"/>
        <v/>
      </c>
      <c r="X29" s="322">
        <f t="shared" si="4"/>
        <v>0</v>
      </c>
      <c r="Y29" s="140" t="str">
        <f t="shared" si="5"/>
        <v/>
      </c>
      <c r="Z29" s="519">
        <v>0</v>
      </c>
      <c r="AA29" s="111">
        <f t="shared" si="6"/>
        <v>0</v>
      </c>
      <c r="AB29" s="111">
        <f t="shared" si="7"/>
        <v>0</v>
      </c>
    </row>
    <row r="30" spans="1:28">
      <c r="A30" s="116" t="s">
        <v>3101</v>
      </c>
      <c r="B30" s="126" t="s">
        <v>3189</v>
      </c>
      <c r="C30" s="98" t="s">
        <v>3194</v>
      </c>
      <c r="D30" s="98" t="s">
        <v>3183</v>
      </c>
      <c r="E30" s="540" t="s">
        <v>4369</v>
      </c>
      <c r="F30" s="540" t="s">
        <v>5251</v>
      </c>
      <c r="G30" s="511" t="s">
        <v>1116</v>
      </c>
      <c r="H30" s="511" t="s">
        <v>2997</v>
      </c>
      <c r="I30" s="544" t="s">
        <v>2471</v>
      </c>
      <c r="J30" s="542" t="s">
        <v>3631</v>
      </c>
      <c r="K30" s="543" t="s">
        <v>3576</v>
      </c>
      <c r="L30" s="95"/>
      <c r="M30" s="104"/>
      <c r="N30" s="137">
        <v>15164.99</v>
      </c>
      <c r="O30" s="138">
        <v>21000</v>
      </c>
      <c r="P30" s="138">
        <v>37000</v>
      </c>
      <c r="Q30" s="138">
        <v>38000</v>
      </c>
      <c r="R30" s="138">
        <v>39000</v>
      </c>
      <c r="S30" s="139">
        <v>40000</v>
      </c>
      <c r="T30" s="322">
        <f t="shared" si="0"/>
        <v>22835.010000000002</v>
      </c>
      <c r="U30" s="140">
        <f t="shared" si="1"/>
        <v>1.5057715171589301</v>
      </c>
      <c r="V30" s="322">
        <f t="shared" si="2"/>
        <v>17000</v>
      </c>
      <c r="W30" s="140">
        <f t="shared" si="3"/>
        <v>0.80952380952380953</v>
      </c>
      <c r="X30" s="322">
        <f t="shared" si="4"/>
        <v>1000</v>
      </c>
      <c r="Y30" s="140">
        <f t="shared" si="5"/>
        <v>2.7027027027027029E-2</v>
      </c>
      <c r="Z30" s="519">
        <v>27682.699999999997</v>
      </c>
      <c r="AA30" s="111">
        <f t="shared" si="6"/>
        <v>36910.266666666663</v>
      </c>
      <c r="AB30" s="111">
        <f t="shared" si="7"/>
        <v>89.733333333337214</v>
      </c>
    </row>
    <row r="31" spans="1:28" ht="18" customHeight="1">
      <c r="A31" s="117" t="s">
        <v>2998</v>
      </c>
      <c r="B31" s="127" t="s">
        <v>3189</v>
      </c>
      <c r="C31" s="99" t="s">
        <v>2139</v>
      </c>
      <c r="D31" s="99" t="s">
        <v>3185</v>
      </c>
      <c r="E31" s="534" t="s">
        <v>2999</v>
      </c>
      <c r="F31" s="534" t="s">
        <v>5252</v>
      </c>
      <c r="G31" s="552"/>
      <c r="H31" s="552"/>
      <c r="I31" s="553"/>
      <c r="J31" s="537"/>
      <c r="K31" s="538"/>
      <c r="L31" s="95"/>
      <c r="M31" s="103"/>
      <c r="N31" s="137">
        <v>0</v>
      </c>
      <c r="O31" s="138">
        <v>0</v>
      </c>
      <c r="P31" s="138">
        <v>0</v>
      </c>
      <c r="Q31" s="138">
        <v>0</v>
      </c>
      <c r="R31" s="138">
        <v>0</v>
      </c>
      <c r="S31" s="139">
        <v>0</v>
      </c>
      <c r="T31" s="322">
        <f t="shared" si="0"/>
        <v>0</v>
      </c>
      <c r="U31" s="140" t="str">
        <f t="shared" si="1"/>
        <v/>
      </c>
      <c r="V31" s="322">
        <f t="shared" si="2"/>
        <v>0</v>
      </c>
      <c r="W31" s="140" t="str">
        <f t="shared" si="3"/>
        <v/>
      </c>
      <c r="X31" s="322">
        <f t="shared" si="4"/>
        <v>0</v>
      </c>
      <c r="Y31" s="140" t="str">
        <f t="shared" si="5"/>
        <v/>
      </c>
      <c r="Z31" s="519">
        <v>0</v>
      </c>
      <c r="AA31" s="111">
        <f t="shared" si="6"/>
        <v>0</v>
      </c>
      <c r="AB31" s="111">
        <f t="shared" si="7"/>
        <v>0</v>
      </c>
    </row>
    <row r="32" spans="1:28" ht="18" customHeight="1">
      <c r="A32" s="116" t="s">
        <v>3000</v>
      </c>
      <c r="B32" s="126" t="s">
        <v>3189</v>
      </c>
      <c r="C32" s="98" t="s">
        <v>2139</v>
      </c>
      <c r="D32" s="98" t="s">
        <v>3183</v>
      </c>
      <c r="E32" s="540" t="s">
        <v>2999</v>
      </c>
      <c r="F32" s="540" t="s">
        <v>5252</v>
      </c>
      <c r="G32" s="511" t="s">
        <v>1118</v>
      </c>
      <c r="H32" s="511" t="s">
        <v>3001</v>
      </c>
      <c r="I32" s="544" t="s">
        <v>2136</v>
      </c>
      <c r="J32" s="542" t="s">
        <v>3631</v>
      </c>
      <c r="K32" s="543" t="s">
        <v>3576</v>
      </c>
      <c r="L32" s="95"/>
      <c r="M32" s="104"/>
      <c r="N32" s="137">
        <v>4076284.59</v>
      </c>
      <c r="O32" s="138">
        <v>4184500</v>
      </c>
      <c r="P32" s="138">
        <v>4234500</v>
      </c>
      <c r="Q32" s="138">
        <v>4319000</v>
      </c>
      <c r="R32" s="138">
        <v>4405000</v>
      </c>
      <c r="S32" s="139">
        <v>4493000</v>
      </c>
      <c r="T32" s="322">
        <f t="shared" si="0"/>
        <v>242715.41000000015</v>
      </c>
      <c r="U32" s="140">
        <f t="shared" si="1"/>
        <v>5.9543293565771413E-2</v>
      </c>
      <c r="V32" s="322">
        <f t="shared" si="2"/>
        <v>134500</v>
      </c>
      <c r="W32" s="140">
        <f t="shared" si="3"/>
        <v>3.2142430397897E-2</v>
      </c>
      <c r="X32" s="322">
        <f t="shared" si="4"/>
        <v>84500</v>
      </c>
      <c r="Y32" s="140">
        <f t="shared" si="5"/>
        <v>1.9955130475853112E-2</v>
      </c>
      <c r="Z32" s="519">
        <v>2891036.07</v>
      </c>
      <c r="AA32" s="111">
        <f t="shared" si="6"/>
        <v>3854714.76</v>
      </c>
      <c r="AB32" s="522">
        <f t="shared" si="7"/>
        <v>379785.24000000022</v>
      </c>
    </row>
    <row r="33" spans="1:28" ht="18" customHeight="1">
      <c r="A33" s="113" t="s">
        <v>3102</v>
      </c>
      <c r="B33" s="135" t="s">
        <v>2758</v>
      </c>
      <c r="C33" s="136" t="s">
        <v>3184</v>
      </c>
      <c r="D33" s="136" t="s">
        <v>3185</v>
      </c>
      <c r="E33" s="529" t="s">
        <v>3103</v>
      </c>
      <c r="F33" s="529" t="s">
        <v>5253</v>
      </c>
      <c r="G33" s="530"/>
      <c r="H33" s="530"/>
      <c r="I33" s="531"/>
      <c r="J33" s="532"/>
      <c r="K33" s="533"/>
      <c r="L33" s="95"/>
      <c r="M33" s="147"/>
      <c r="N33" s="137">
        <v>0</v>
      </c>
      <c r="O33" s="138">
        <v>0</v>
      </c>
      <c r="P33" s="138">
        <v>0</v>
      </c>
      <c r="Q33" s="138">
        <v>0</v>
      </c>
      <c r="R33" s="138">
        <v>0</v>
      </c>
      <c r="S33" s="139">
        <v>0</v>
      </c>
      <c r="T33" s="322">
        <f t="shared" si="0"/>
        <v>0</v>
      </c>
      <c r="U33" s="140" t="str">
        <f t="shared" si="1"/>
        <v/>
      </c>
      <c r="V33" s="322">
        <f t="shared" si="2"/>
        <v>0</v>
      </c>
      <c r="W33" s="140" t="str">
        <f t="shared" si="3"/>
        <v/>
      </c>
      <c r="X33" s="322">
        <f t="shared" si="4"/>
        <v>0</v>
      </c>
      <c r="Y33" s="140" t="str">
        <f t="shared" si="5"/>
        <v/>
      </c>
      <c r="Z33" s="519">
        <v>0</v>
      </c>
      <c r="AA33" s="111">
        <f t="shared" si="6"/>
        <v>0</v>
      </c>
      <c r="AB33" s="111">
        <f t="shared" si="7"/>
        <v>0</v>
      </c>
    </row>
    <row r="34" spans="1:28" ht="18" customHeight="1">
      <c r="A34" s="115" t="s">
        <v>3104</v>
      </c>
      <c r="B34" s="124" t="s">
        <v>2758</v>
      </c>
      <c r="C34" s="101" t="s">
        <v>3186</v>
      </c>
      <c r="D34" s="101" t="s">
        <v>3185</v>
      </c>
      <c r="E34" s="554" t="s">
        <v>3106</v>
      </c>
      <c r="F34" s="534" t="s">
        <v>3105</v>
      </c>
      <c r="G34" s="555"/>
      <c r="H34" s="555"/>
      <c r="I34" s="556"/>
      <c r="J34" s="557"/>
      <c r="K34" s="558"/>
      <c r="L34" s="95"/>
      <c r="M34" s="104"/>
      <c r="N34" s="137">
        <v>0</v>
      </c>
      <c r="O34" s="138">
        <v>0</v>
      </c>
      <c r="P34" s="138">
        <v>0</v>
      </c>
      <c r="Q34" s="138">
        <v>0</v>
      </c>
      <c r="R34" s="138">
        <v>0</v>
      </c>
      <c r="S34" s="139">
        <v>0</v>
      </c>
      <c r="T34" s="322">
        <f t="shared" si="0"/>
        <v>0</v>
      </c>
      <c r="U34" s="140" t="str">
        <f t="shared" si="1"/>
        <v/>
      </c>
      <c r="V34" s="322">
        <f t="shared" si="2"/>
        <v>0</v>
      </c>
      <c r="W34" s="140" t="str">
        <f t="shared" si="3"/>
        <v/>
      </c>
      <c r="X34" s="322">
        <f t="shared" si="4"/>
        <v>0</v>
      </c>
      <c r="Y34" s="140" t="str">
        <f t="shared" si="5"/>
        <v/>
      </c>
      <c r="Z34" s="519">
        <v>0</v>
      </c>
      <c r="AA34" s="111">
        <f t="shared" si="6"/>
        <v>0</v>
      </c>
      <c r="AB34" s="111">
        <f t="shared" si="7"/>
        <v>0</v>
      </c>
    </row>
    <row r="35" spans="1:28" ht="18" customHeight="1">
      <c r="A35" s="114" t="s">
        <v>3107</v>
      </c>
      <c r="B35" s="125" t="s">
        <v>2758</v>
      </c>
      <c r="C35" s="97" t="s">
        <v>3186</v>
      </c>
      <c r="D35" s="97" t="s">
        <v>3183</v>
      </c>
      <c r="E35" s="559" t="s">
        <v>3106</v>
      </c>
      <c r="F35" s="540" t="s">
        <v>3105</v>
      </c>
      <c r="G35" s="555" t="s">
        <v>1124</v>
      </c>
      <c r="H35" s="555" t="s">
        <v>3002</v>
      </c>
      <c r="I35" s="556" t="s">
        <v>3108</v>
      </c>
      <c r="J35" s="557" t="s">
        <v>3110</v>
      </c>
      <c r="K35" s="558" t="s">
        <v>3577</v>
      </c>
      <c r="L35" s="95"/>
      <c r="M35" s="104"/>
      <c r="N35" s="137">
        <v>4733379.8499999996</v>
      </c>
      <c r="O35" s="138">
        <v>4752000</v>
      </c>
      <c r="P35" s="138">
        <v>4806000</v>
      </c>
      <c r="Q35" s="138">
        <v>4864000</v>
      </c>
      <c r="R35" s="138">
        <v>4922000</v>
      </c>
      <c r="S35" s="139">
        <v>4981000</v>
      </c>
      <c r="T35" s="322">
        <f t="shared" si="0"/>
        <v>130620.15000000037</v>
      </c>
      <c r="U35" s="140">
        <f t="shared" si="1"/>
        <v>2.7595535143878296E-2</v>
      </c>
      <c r="V35" s="322">
        <f t="shared" si="2"/>
        <v>112000</v>
      </c>
      <c r="W35" s="140">
        <f t="shared" si="3"/>
        <v>2.3569023569023569E-2</v>
      </c>
      <c r="X35" s="322">
        <f t="shared" si="4"/>
        <v>58000</v>
      </c>
      <c r="Y35" s="140">
        <f t="shared" si="5"/>
        <v>1.2068248023304202E-2</v>
      </c>
      <c r="Z35" s="519">
        <v>3537060.63</v>
      </c>
      <c r="AA35" s="111">
        <f t="shared" si="6"/>
        <v>4716080.84</v>
      </c>
      <c r="AB35" s="111">
        <f t="shared" si="7"/>
        <v>89919.160000000149</v>
      </c>
    </row>
    <row r="36" spans="1:28" ht="24" customHeight="1">
      <c r="A36" s="115" t="s">
        <v>3111</v>
      </c>
      <c r="B36" s="124" t="s">
        <v>2758</v>
      </c>
      <c r="C36" s="101" t="s">
        <v>3187</v>
      </c>
      <c r="D36" s="101" t="s">
        <v>3185</v>
      </c>
      <c r="E36" s="554" t="s">
        <v>3113</v>
      </c>
      <c r="F36" s="534" t="s">
        <v>3112</v>
      </c>
      <c r="G36" s="555"/>
      <c r="H36" s="555"/>
      <c r="I36" s="556"/>
      <c r="J36" s="557"/>
      <c r="K36" s="558"/>
      <c r="L36" s="95"/>
      <c r="M36" s="104"/>
      <c r="N36" s="137">
        <v>0</v>
      </c>
      <c r="O36" s="138">
        <v>0</v>
      </c>
      <c r="P36" s="138">
        <v>0</v>
      </c>
      <c r="Q36" s="138">
        <v>0</v>
      </c>
      <c r="R36" s="138">
        <v>0</v>
      </c>
      <c r="S36" s="139">
        <v>0</v>
      </c>
      <c r="T36" s="322">
        <f t="shared" si="0"/>
        <v>0</v>
      </c>
      <c r="U36" s="140" t="str">
        <f t="shared" si="1"/>
        <v/>
      </c>
      <c r="V36" s="322">
        <f t="shared" si="2"/>
        <v>0</v>
      </c>
      <c r="W36" s="140" t="str">
        <f t="shared" si="3"/>
        <v/>
      </c>
      <c r="X36" s="322">
        <f t="shared" si="4"/>
        <v>0</v>
      </c>
      <c r="Y36" s="140" t="str">
        <f t="shared" si="5"/>
        <v/>
      </c>
      <c r="Z36" s="519">
        <v>0</v>
      </c>
      <c r="AA36" s="111">
        <f t="shared" si="6"/>
        <v>0</v>
      </c>
      <c r="AB36" s="111">
        <f t="shared" si="7"/>
        <v>0</v>
      </c>
    </row>
    <row r="37" spans="1:28" ht="18.75" customHeight="1">
      <c r="A37" s="114" t="s">
        <v>3114</v>
      </c>
      <c r="B37" s="125" t="s">
        <v>2758</v>
      </c>
      <c r="C37" s="97" t="s">
        <v>3187</v>
      </c>
      <c r="D37" s="97" t="s">
        <v>3183</v>
      </c>
      <c r="E37" s="559" t="s">
        <v>3116</v>
      </c>
      <c r="F37" s="540" t="s">
        <v>3115</v>
      </c>
      <c r="G37" s="555" t="s">
        <v>1126</v>
      </c>
      <c r="H37" s="555" t="s">
        <v>3003</v>
      </c>
      <c r="I37" s="556" t="s">
        <v>3117</v>
      </c>
      <c r="J37" s="557" t="s">
        <v>3110</v>
      </c>
      <c r="K37" s="558" t="s">
        <v>3577</v>
      </c>
      <c r="L37" s="95"/>
      <c r="M37" s="104"/>
      <c r="N37" s="137">
        <v>415889.98</v>
      </c>
      <c r="O37" s="138">
        <v>434000</v>
      </c>
      <c r="P37" s="138">
        <v>437000</v>
      </c>
      <c r="Q37" s="138">
        <v>442000</v>
      </c>
      <c r="R37" s="138">
        <v>447000</v>
      </c>
      <c r="S37" s="139">
        <v>452000</v>
      </c>
      <c r="T37" s="322">
        <f t="shared" si="0"/>
        <v>26110.020000000019</v>
      </c>
      <c r="U37" s="140">
        <f t="shared" si="1"/>
        <v>6.2781074937174539E-2</v>
      </c>
      <c r="V37" s="322">
        <f t="shared" si="2"/>
        <v>8000</v>
      </c>
      <c r="W37" s="140">
        <f t="shared" si="3"/>
        <v>1.8433179723502304E-2</v>
      </c>
      <c r="X37" s="322">
        <f t="shared" si="4"/>
        <v>5000</v>
      </c>
      <c r="Y37" s="140">
        <f t="shared" si="5"/>
        <v>1.1441647597254004E-2</v>
      </c>
      <c r="Z37" s="519">
        <v>327533.98</v>
      </c>
      <c r="AA37" s="111">
        <f t="shared" si="6"/>
        <v>436711.97333333333</v>
      </c>
      <c r="AB37" s="111">
        <f t="shared" si="7"/>
        <v>288.0266666666721</v>
      </c>
    </row>
    <row r="38" spans="1:28" ht="18.75" customHeight="1">
      <c r="A38" s="114" t="s">
        <v>3118</v>
      </c>
      <c r="B38" s="125" t="s">
        <v>2758</v>
      </c>
      <c r="C38" s="97" t="s">
        <v>3187</v>
      </c>
      <c r="D38" s="97" t="s">
        <v>3193</v>
      </c>
      <c r="E38" s="559" t="s">
        <v>2530</v>
      </c>
      <c r="F38" s="540" t="s">
        <v>3119</v>
      </c>
      <c r="G38" s="555" t="s">
        <v>1126</v>
      </c>
      <c r="H38" s="555" t="s">
        <v>3003</v>
      </c>
      <c r="I38" s="556" t="s">
        <v>3117</v>
      </c>
      <c r="J38" s="557" t="s">
        <v>3110</v>
      </c>
      <c r="K38" s="558" t="s">
        <v>3577</v>
      </c>
      <c r="L38" s="95"/>
      <c r="M38" s="104"/>
      <c r="N38" s="137">
        <v>2492029.89</v>
      </c>
      <c r="O38" s="138">
        <v>2581000</v>
      </c>
      <c r="P38" s="138">
        <v>2550000</v>
      </c>
      <c r="Q38" s="138">
        <v>2581000</v>
      </c>
      <c r="R38" s="138">
        <v>2612000</v>
      </c>
      <c r="S38" s="139">
        <v>2643000</v>
      </c>
      <c r="T38" s="322">
        <f t="shared" si="0"/>
        <v>88970.10999999987</v>
      </c>
      <c r="U38" s="140">
        <f t="shared" si="1"/>
        <v>3.5701863110478127E-2</v>
      </c>
      <c r="V38" s="322">
        <f t="shared" si="2"/>
        <v>0</v>
      </c>
      <c r="W38" s="140">
        <f t="shared" si="3"/>
        <v>0</v>
      </c>
      <c r="X38" s="322">
        <f t="shared" si="4"/>
        <v>31000</v>
      </c>
      <c r="Y38" s="140">
        <f t="shared" si="5"/>
        <v>1.215686274509804E-2</v>
      </c>
      <c r="Z38" s="519">
        <v>1912460.0599999998</v>
      </c>
      <c r="AA38" s="111">
        <f t="shared" si="6"/>
        <v>2549946.7466666666</v>
      </c>
      <c r="AB38" s="111">
        <f t="shared" si="7"/>
        <v>53.253333333414048</v>
      </c>
    </row>
    <row r="39" spans="1:28" ht="18.75" customHeight="1">
      <c r="A39" s="115" t="s">
        <v>2531</v>
      </c>
      <c r="B39" s="124" t="s">
        <v>2758</v>
      </c>
      <c r="C39" s="101" t="s">
        <v>3189</v>
      </c>
      <c r="D39" s="101" t="s">
        <v>3185</v>
      </c>
      <c r="E39" s="554" t="s">
        <v>2533</v>
      </c>
      <c r="F39" s="534" t="s">
        <v>2532</v>
      </c>
      <c r="G39" s="555"/>
      <c r="H39" s="555"/>
      <c r="I39" s="556"/>
      <c r="J39" s="557"/>
      <c r="K39" s="558"/>
      <c r="L39" s="95"/>
      <c r="M39" s="104"/>
      <c r="N39" s="137">
        <v>0</v>
      </c>
      <c r="O39" s="138">
        <v>0</v>
      </c>
      <c r="P39" s="138">
        <v>0</v>
      </c>
      <c r="Q39" s="138">
        <v>0</v>
      </c>
      <c r="R39" s="138">
        <v>0</v>
      </c>
      <c r="S39" s="139">
        <v>0</v>
      </c>
      <c r="T39" s="322">
        <f t="shared" si="0"/>
        <v>0</v>
      </c>
      <c r="U39" s="140" t="str">
        <f t="shared" si="1"/>
        <v/>
      </c>
      <c r="V39" s="322">
        <f t="shared" si="2"/>
        <v>0</v>
      </c>
      <c r="W39" s="140" t="str">
        <f t="shared" si="3"/>
        <v/>
      </c>
      <c r="X39" s="322">
        <f t="shared" si="4"/>
        <v>0</v>
      </c>
      <c r="Y39" s="140" t="str">
        <f t="shared" si="5"/>
        <v/>
      </c>
      <c r="Z39" s="519">
        <v>0</v>
      </c>
      <c r="AA39" s="111">
        <f t="shared" si="6"/>
        <v>0</v>
      </c>
      <c r="AB39" s="111">
        <f t="shared" si="7"/>
        <v>0</v>
      </c>
    </row>
    <row r="40" spans="1:28" ht="18.75" customHeight="1">
      <c r="A40" s="114" t="s">
        <v>2534</v>
      </c>
      <c r="B40" s="125" t="s">
        <v>2758</v>
      </c>
      <c r="C40" s="97" t="s">
        <v>3189</v>
      </c>
      <c r="D40" s="97" t="s">
        <v>3183</v>
      </c>
      <c r="E40" s="559" t="s">
        <v>2536</v>
      </c>
      <c r="F40" s="540" t="s">
        <v>2535</v>
      </c>
      <c r="G40" s="555" t="s">
        <v>1128</v>
      </c>
      <c r="H40" s="555" t="s">
        <v>3004</v>
      </c>
      <c r="I40" s="556" t="s">
        <v>2537</v>
      </c>
      <c r="J40" s="557" t="s">
        <v>3110</v>
      </c>
      <c r="K40" s="558" t="s">
        <v>3577</v>
      </c>
      <c r="L40" s="95"/>
      <c r="M40" s="104"/>
      <c r="N40" s="137">
        <v>4064307.55</v>
      </c>
      <c r="O40" s="138">
        <v>4040000</v>
      </c>
      <c r="P40" s="138">
        <v>4065000</v>
      </c>
      <c r="Q40" s="138">
        <v>4207000</v>
      </c>
      <c r="R40" s="138">
        <v>4354000</v>
      </c>
      <c r="S40" s="139">
        <v>4506000</v>
      </c>
      <c r="T40" s="322">
        <f t="shared" si="0"/>
        <v>142692.45000000019</v>
      </c>
      <c r="U40" s="140">
        <f t="shared" si="1"/>
        <v>3.510867429311549E-2</v>
      </c>
      <c r="V40" s="322">
        <f t="shared" si="2"/>
        <v>167000</v>
      </c>
      <c r="W40" s="140">
        <f t="shared" si="3"/>
        <v>4.1336633663366339E-2</v>
      </c>
      <c r="X40" s="322">
        <f t="shared" si="4"/>
        <v>142000</v>
      </c>
      <c r="Y40" s="140">
        <f t="shared" si="5"/>
        <v>3.4932349323493234E-2</v>
      </c>
      <c r="Z40" s="519">
        <v>3048658.37</v>
      </c>
      <c r="AA40" s="111">
        <f t="shared" si="6"/>
        <v>4064877.8266666667</v>
      </c>
      <c r="AB40" s="111">
        <f t="shared" si="7"/>
        <v>122.17333333333954</v>
      </c>
    </row>
    <row r="41" spans="1:28" ht="18.75" customHeight="1">
      <c r="A41" s="114" t="s">
        <v>2538</v>
      </c>
      <c r="B41" s="125" t="s">
        <v>2758</v>
      </c>
      <c r="C41" s="97" t="s">
        <v>3189</v>
      </c>
      <c r="D41" s="97" t="s">
        <v>2137</v>
      </c>
      <c r="E41" s="540" t="s">
        <v>2540</v>
      </c>
      <c r="F41" s="540" t="s">
        <v>2539</v>
      </c>
      <c r="G41" s="555" t="s">
        <v>1128</v>
      </c>
      <c r="H41" s="555" t="s">
        <v>3004</v>
      </c>
      <c r="I41" s="556" t="s">
        <v>2537</v>
      </c>
      <c r="J41" s="557" t="s">
        <v>3110</v>
      </c>
      <c r="K41" s="558" t="s">
        <v>3577</v>
      </c>
      <c r="L41" s="95"/>
      <c r="M41" s="104"/>
      <c r="N41" s="137">
        <v>1229248.23</v>
      </c>
      <c r="O41" s="138">
        <v>1246000</v>
      </c>
      <c r="P41" s="138">
        <v>1263000</v>
      </c>
      <c r="Q41" s="138">
        <v>1307000</v>
      </c>
      <c r="R41" s="138">
        <v>1353000</v>
      </c>
      <c r="S41" s="139">
        <v>1400000</v>
      </c>
      <c r="T41" s="322">
        <f t="shared" si="0"/>
        <v>77751.770000000019</v>
      </c>
      <c r="U41" s="140">
        <f t="shared" si="1"/>
        <v>6.3251480134325688E-2</v>
      </c>
      <c r="V41" s="322">
        <f t="shared" si="2"/>
        <v>61000</v>
      </c>
      <c r="W41" s="140">
        <f t="shared" si="3"/>
        <v>4.8956661316211875E-2</v>
      </c>
      <c r="X41" s="322">
        <f t="shared" si="4"/>
        <v>44000</v>
      </c>
      <c r="Y41" s="140">
        <f t="shared" si="5"/>
        <v>3.4837688044338878E-2</v>
      </c>
      <c r="Z41" s="519">
        <v>946815.82</v>
      </c>
      <c r="AA41" s="111">
        <f t="shared" si="6"/>
        <v>1262421.0933333333</v>
      </c>
      <c r="AB41" s="111">
        <f t="shared" si="7"/>
        <v>578.90666666673496</v>
      </c>
    </row>
    <row r="42" spans="1:28" ht="18.75" customHeight="1">
      <c r="A42" s="115" t="s">
        <v>2541</v>
      </c>
      <c r="B42" s="124" t="s">
        <v>2758</v>
      </c>
      <c r="C42" s="101" t="s">
        <v>3190</v>
      </c>
      <c r="D42" s="101" t="s">
        <v>3185</v>
      </c>
      <c r="E42" s="554" t="s">
        <v>2543</v>
      </c>
      <c r="F42" s="534" t="s">
        <v>2542</v>
      </c>
      <c r="G42" s="555"/>
      <c r="H42" s="555"/>
      <c r="I42" s="556"/>
      <c r="J42" s="557"/>
      <c r="K42" s="558"/>
      <c r="L42" s="95"/>
      <c r="M42" s="104"/>
      <c r="N42" s="137">
        <v>0</v>
      </c>
      <c r="O42" s="138">
        <v>0</v>
      </c>
      <c r="P42" s="138">
        <v>0</v>
      </c>
      <c r="Q42" s="138">
        <v>0</v>
      </c>
      <c r="R42" s="138">
        <v>0</v>
      </c>
      <c r="S42" s="139">
        <v>0</v>
      </c>
      <c r="T42" s="322">
        <f t="shared" si="0"/>
        <v>0</v>
      </c>
      <c r="U42" s="140" t="str">
        <f t="shared" si="1"/>
        <v/>
      </c>
      <c r="V42" s="322">
        <f t="shared" si="2"/>
        <v>0</v>
      </c>
      <c r="W42" s="140" t="str">
        <f t="shared" si="3"/>
        <v/>
      </c>
      <c r="X42" s="322">
        <f t="shared" si="4"/>
        <v>0</v>
      </c>
      <c r="Y42" s="140" t="str">
        <f t="shared" si="5"/>
        <v/>
      </c>
      <c r="Z42" s="519">
        <v>0</v>
      </c>
      <c r="AA42" s="111">
        <f t="shared" si="6"/>
        <v>0</v>
      </c>
      <c r="AB42" s="111">
        <f t="shared" si="7"/>
        <v>0</v>
      </c>
    </row>
    <row r="43" spans="1:28" ht="18.75" customHeight="1">
      <c r="A43" s="114" t="s">
        <v>2544</v>
      </c>
      <c r="B43" s="125" t="s">
        <v>2758</v>
      </c>
      <c r="C43" s="97" t="s">
        <v>3190</v>
      </c>
      <c r="D43" s="97" t="s">
        <v>3183</v>
      </c>
      <c r="E43" s="559" t="s">
        <v>2543</v>
      </c>
      <c r="F43" s="540" t="s">
        <v>2542</v>
      </c>
      <c r="G43" s="555" t="s">
        <v>1128</v>
      </c>
      <c r="H43" s="555" t="s">
        <v>3004</v>
      </c>
      <c r="I43" s="556" t="s">
        <v>2537</v>
      </c>
      <c r="J43" s="557" t="s">
        <v>3110</v>
      </c>
      <c r="K43" s="558" t="s">
        <v>3577</v>
      </c>
      <c r="L43" s="95"/>
      <c r="M43" s="104"/>
      <c r="N43" s="137">
        <v>446087.12</v>
      </c>
      <c r="O43" s="138">
        <v>446000</v>
      </c>
      <c r="P43" s="138">
        <v>447000</v>
      </c>
      <c r="Q43" s="138">
        <v>463000</v>
      </c>
      <c r="R43" s="138">
        <v>479000</v>
      </c>
      <c r="S43" s="139">
        <v>496000</v>
      </c>
      <c r="T43" s="322">
        <f t="shared" si="0"/>
        <v>16912.880000000005</v>
      </c>
      <c r="U43" s="140">
        <f t="shared" si="1"/>
        <v>3.7913849653404039E-2</v>
      </c>
      <c r="V43" s="322">
        <f t="shared" si="2"/>
        <v>17000</v>
      </c>
      <c r="W43" s="140">
        <f t="shared" si="3"/>
        <v>3.811659192825112E-2</v>
      </c>
      <c r="X43" s="322">
        <f t="shared" si="4"/>
        <v>16000</v>
      </c>
      <c r="Y43" s="140">
        <f t="shared" si="5"/>
        <v>3.5794183445190156E-2</v>
      </c>
      <c r="Z43" s="519">
        <v>330915.38</v>
      </c>
      <c r="AA43" s="111">
        <f t="shared" si="6"/>
        <v>441220.50666666665</v>
      </c>
      <c r="AB43" s="111">
        <f t="shared" si="7"/>
        <v>5779.4933333333465</v>
      </c>
    </row>
    <row r="44" spans="1:28" ht="24" customHeight="1">
      <c r="A44" s="115" t="s">
        <v>2545</v>
      </c>
      <c r="B44" s="124" t="s">
        <v>2758</v>
      </c>
      <c r="C44" s="101" t="s">
        <v>3191</v>
      </c>
      <c r="D44" s="101" t="s">
        <v>3185</v>
      </c>
      <c r="E44" s="554" t="s">
        <v>2546</v>
      </c>
      <c r="F44" s="534" t="s">
        <v>5254</v>
      </c>
      <c r="G44" s="555"/>
      <c r="H44" s="555"/>
      <c r="I44" s="556"/>
      <c r="J44" s="557"/>
      <c r="K44" s="558"/>
      <c r="L44" s="95"/>
      <c r="M44" s="104"/>
      <c r="N44" s="137">
        <v>0</v>
      </c>
      <c r="O44" s="138">
        <v>0</v>
      </c>
      <c r="P44" s="138">
        <v>0</v>
      </c>
      <c r="Q44" s="138">
        <v>0</v>
      </c>
      <c r="R44" s="138">
        <v>0</v>
      </c>
      <c r="S44" s="139">
        <v>0</v>
      </c>
      <c r="T44" s="322">
        <f t="shared" si="0"/>
        <v>0</v>
      </c>
      <c r="U44" s="140" t="str">
        <f t="shared" si="1"/>
        <v/>
      </c>
      <c r="V44" s="322">
        <f t="shared" si="2"/>
        <v>0</v>
      </c>
      <c r="W44" s="140" t="str">
        <f t="shared" si="3"/>
        <v/>
      </c>
      <c r="X44" s="322">
        <f t="shared" si="4"/>
        <v>0</v>
      </c>
      <c r="Y44" s="140" t="str">
        <f t="shared" si="5"/>
        <v/>
      </c>
      <c r="Z44" s="519">
        <v>0</v>
      </c>
      <c r="AA44" s="111">
        <f t="shared" si="6"/>
        <v>0</v>
      </c>
      <c r="AB44" s="111">
        <f t="shared" si="7"/>
        <v>0</v>
      </c>
    </row>
    <row r="45" spans="1:28" ht="24" customHeight="1">
      <c r="A45" s="114" t="s">
        <v>2547</v>
      </c>
      <c r="B45" s="125" t="s">
        <v>2758</v>
      </c>
      <c r="C45" s="97" t="s">
        <v>3191</v>
      </c>
      <c r="D45" s="97" t="s">
        <v>3183</v>
      </c>
      <c r="E45" s="559" t="s">
        <v>2546</v>
      </c>
      <c r="F45" s="540" t="s">
        <v>5254</v>
      </c>
      <c r="G45" s="555" t="s">
        <v>1728</v>
      </c>
      <c r="H45" s="555" t="s">
        <v>3005</v>
      </c>
      <c r="I45" s="556" t="s">
        <v>2548</v>
      </c>
      <c r="J45" s="557" t="s">
        <v>3110</v>
      </c>
      <c r="K45" s="558" t="s">
        <v>3577</v>
      </c>
      <c r="L45" s="95"/>
      <c r="M45" s="104"/>
      <c r="N45" s="137">
        <v>1292806.1299999999</v>
      </c>
      <c r="O45" s="138">
        <v>1495000</v>
      </c>
      <c r="P45" s="138">
        <v>1581000</v>
      </c>
      <c r="Q45" s="138">
        <v>1600000</v>
      </c>
      <c r="R45" s="138">
        <v>1619000</v>
      </c>
      <c r="S45" s="139">
        <v>1638000</v>
      </c>
      <c r="T45" s="322">
        <f t="shared" si="0"/>
        <v>307193.87000000011</v>
      </c>
      <c r="U45" s="140">
        <f t="shared" si="1"/>
        <v>0.23761789403025196</v>
      </c>
      <c r="V45" s="322">
        <f t="shared" si="2"/>
        <v>105000</v>
      </c>
      <c r="W45" s="140">
        <f t="shared" si="3"/>
        <v>7.0234113712374577E-2</v>
      </c>
      <c r="X45" s="322">
        <f t="shared" si="4"/>
        <v>19000</v>
      </c>
      <c r="Y45" s="140">
        <f t="shared" si="5"/>
        <v>1.2017710309930424E-2</v>
      </c>
      <c r="Z45" s="519">
        <v>1192565.6300000001</v>
      </c>
      <c r="AA45" s="111">
        <f t="shared" si="6"/>
        <v>1590087.5066666668</v>
      </c>
      <c r="AB45" s="111">
        <f t="shared" si="7"/>
        <v>-9087.5066666668281</v>
      </c>
    </row>
    <row r="46" spans="1:28" ht="24" customHeight="1">
      <c r="A46" s="115" t="s">
        <v>2549</v>
      </c>
      <c r="B46" s="124" t="s">
        <v>2758</v>
      </c>
      <c r="C46" s="101" t="s">
        <v>2139</v>
      </c>
      <c r="D46" s="101" t="s">
        <v>3185</v>
      </c>
      <c r="E46" s="534" t="s">
        <v>2550</v>
      </c>
      <c r="F46" s="534" t="s">
        <v>5255</v>
      </c>
      <c r="G46" s="555"/>
      <c r="H46" s="555"/>
      <c r="I46" s="556"/>
      <c r="J46" s="557"/>
      <c r="K46" s="558"/>
      <c r="L46" s="95"/>
      <c r="M46" s="104"/>
      <c r="N46" s="137">
        <v>0</v>
      </c>
      <c r="O46" s="138">
        <v>0</v>
      </c>
      <c r="P46" s="138">
        <v>0</v>
      </c>
      <c r="Q46" s="138">
        <v>0</v>
      </c>
      <c r="R46" s="138">
        <v>0</v>
      </c>
      <c r="S46" s="139">
        <v>0</v>
      </c>
      <c r="T46" s="322">
        <f t="shared" si="0"/>
        <v>0</v>
      </c>
      <c r="U46" s="140" t="str">
        <f t="shared" si="1"/>
        <v/>
      </c>
      <c r="V46" s="322">
        <f t="shared" si="2"/>
        <v>0</v>
      </c>
      <c r="W46" s="140" t="str">
        <f t="shared" si="3"/>
        <v/>
      </c>
      <c r="X46" s="322">
        <f t="shared" si="4"/>
        <v>0</v>
      </c>
      <c r="Y46" s="140" t="str">
        <f t="shared" si="5"/>
        <v/>
      </c>
      <c r="Z46" s="519">
        <v>0</v>
      </c>
      <c r="AA46" s="111">
        <f t="shared" si="6"/>
        <v>0</v>
      </c>
      <c r="AB46" s="111">
        <f t="shared" si="7"/>
        <v>0</v>
      </c>
    </row>
    <row r="47" spans="1:28" ht="18.75" customHeight="1">
      <c r="A47" s="114" t="s">
        <v>2551</v>
      </c>
      <c r="B47" s="125" t="s">
        <v>2758</v>
      </c>
      <c r="C47" s="97" t="s">
        <v>2139</v>
      </c>
      <c r="D47" s="97" t="s">
        <v>3183</v>
      </c>
      <c r="E47" s="559" t="s">
        <v>2550</v>
      </c>
      <c r="F47" s="540" t="s">
        <v>5255</v>
      </c>
      <c r="G47" s="555" t="s">
        <v>1732</v>
      </c>
      <c r="H47" s="555" t="s">
        <v>3006</v>
      </c>
      <c r="I47" s="556" t="s">
        <v>3171</v>
      </c>
      <c r="J47" s="557" t="s">
        <v>3110</v>
      </c>
      <c r="K47" s="558" t="s">
        <v>3577</v>
      </c>
      <c r="L47" s="95"/>
      <c r="M47" s="104"/>
      <c r="N47" s="137">
        <v>365945.70999999996</v>
      </c>
      <c r="O47" s="138">
        <v>354000</v>
      </c>
      <c r="P47" s="138">
        <v>374000</v>
      </c>
      <c r="Q47" s="138">
        <v>378000</v>
      </c>
      <c r="R47" s="138">
        <v>383000</v>
      </c>
      <c r="S47" s="139">
        <v>388000</v>
      </c>
      <c r="T47" s="322">
        <f t="shared" si="0"/>
        <v>12054.290000000037</v>
      </c>
      <c r="U47" s="140">
        <f t="shared" si="1"/>
        <v>3.2940104694764799E-2</v>
      </c>
      <c r="V47" s="322">
        <f t="shared" si="2"/>
        <v>24000</v>
      </c>
      <c r="W47" s="140">
        <f t="shared" si="3"/>
        <v>6.7796610169491525E-2</v>
      </c>
      <c r="X47" s="322">
        <f t="shared" si="4"/>
        <v>4000</v>
      </c>
      <c r="Y47" s="140">
        <f t="shared" si="5"/>
        <v>1.06951871657754E-2</v>
      </c>
      <c r="Z47" s="519">
        <v>280596.39</v>
      </c>
      <c r="AA47" s="111">
        <f t="shared" si="6"/>
        <v>374128.52</v>
      </c>
      <c r="AB47" s="111">
        <f t="shared" si="7"/>
        <v>-128.52000000001863</v>
      </c>
    </row>
    <row r="48" spans="1:28" ht="18.75" customHeight="1">
      <c r="A48" s="113" t="s">
        <v>2552</v>
      </c>
      <c r="B48" s="135" t="s">
        <v>2553</v>
      </c>
      <c r="C48" s="136" t="s">
        <v>3184</v>
      </c>
      <c r="D48" s="136" t="s">
        <v>3185</v>
      </c>
      <c r="E48" s="529" t="s">
        <v>4377</v>
      </c>
      <c r="F48" s="529" t="s">
        <v>4378</v>
      </c>
      <c r="G48" s="530"/>
      <c r="H48" s="530"/>
      <c r="I48" s="531"/>
      <c r="J48" s="532"/>
      <c r="K48" s="533"/>
      <c r="L48" s="95"/>
      <c r="M48" s="147"/>
      <c r="N48" s="137">
        <v>0</v>
      </c>
      <c r="O48" s="138">
        <v>0</v>
      </c>
      <c r="P48" s="138">
        <v>0</v>
      </c>
      <c r="Q48" s="138">
        <v>0</v>
      </c>
      <c r="R48" s="138">
        <v>0</v>
      </c>
      <c r="S48" s="139">
        <v>0</v>
      </c>
      <c r="T48" s="322">
        <f t="shared" si="0"/>
        <v>0</v>
      </c>
      <c r="U48" s="140" t="str">
        <f t="shared" si="1"/>
        <v/>
      </c>
      <c r="V48" s="322">
        <f t="shared" si="2"/>
        <v>0</v>
      </c>
      <c r="W48" s="140" t="str">
        <f t="shared" si="3"/>
        <v/>
      </c>
      <c r="X48" s="322">
        <f t="shared" si="4"/>
        <v>0</v>
      </c>
      <c r="Y48" s="140" t="str">
        <f t="shared" si="5"/>
        <v/>
      </c>
      <c r="Z48" s="519">
        <v>0</v>
      </c>
      <c r="AA48" s="111">
        <f t="shared" si="6"/>
        <v>0</v>
      </c>
      <c r="AB48" s="111">
        <f t="shared" si="7"/>
        <v>0</v>
      </c>
    </row>
    <row r="49" spans="1:28" ht="25.5" customHeight="1">
      <c r="A49" s="115" t="s">
        <v>2554</v>
      </c>
      <c r="B49" s="124" t="s">
        <v>2553</v>
      </c>
      <c r="C49" s="101" t="s">
        <v>3186</v>
      </c>
      <c r="D49" s="101" t="s">
        <v>3185</v>
      </c>
      <c r="E49" s="554" t="s">
        <v>2556</v>
      </c>
      <c r="F49" s="534" t="s">
        <v>2555</v>
      </c>
      <c r="G49" s="555"/>
      <c r="H49" s="555"/>
      <c r="I49" s="556"/>
      <c r="J49" s="557"/>
      <c r="K49" s="558"/>
      <c r="L49" s="95"/>
      <c r="M49" s="104"/>
      <c r="N49" s="137">
        <v>0</v>
      </c>
      <c r="O49" s="138">
        <v>0</v>
      </c>
      <c r="P49" s="138">
        <v>0</v>
      </c>
      <c r="Q49" s="138">
        <v>0</v>
      </c>
      <c r="R49" s="138">
        <v>0</v>
      </c>
      <c r="S49" s="139">
        <v>0</v>
      </c>
      <c r="T49" s="322">
        <f t="shared" si="0"/>
        <v>0</v>
      </c>
      <c r="U49" s="140" t="str">
        <f t="shared" si="1"/>
        <v/>
      </c>
      <c r="V49" s="322">
        <f t="shared" si="2"/>
        <v>0</v>
      </c>
      <c r="W49" s="140" t="str">
        <f t="shared" si="3"/>
        <v/>
      </c>
      <c r="X49" s="322">
        <f t="shared" si="4"/>
        <v>0</v>
      </c>
      <c r="Y49" s="140" t="str">
        <f t="shared" si="5"/>
        <v/>
      </c>
      <c r="Z49" s="519">
        <v>0</v>
      </c>
      <c r="AA49" s="111">
        <f t="shared" si="6"/>
        <v>0</v>
      </c>
      <c r="AB49" s="111">
        <f t="shared" si="7"/>
        <v>0</v>
      </c>
    </row>
    <row r="50" spans="1:28" ht="25.5" customHeight="1">
      <c r="A50" s="114" t="s">
        <v>2557</v>
      </c>
      <c r="B50" s="125" t="s">
        <v>2553</v>
      </c>
      <c r="C50" s="97" t="s">
        <v>3186</v>
      </c>
      <c r="D50" s="97" t="s">
        <v>3183</v>
      </c>
      <c r="E50" s="559" t="s">
        <v>2556</v>
      </c>
      <c r="F50" s="540" t="s">
        <v>2555</v>
      </c>
      <c r="G50" s="555" t="s">
        <v>1730</v>
      </c>
      <c r="H50" s="555" t="s">
        <v>2558</v>
      </c>
      <c r="I50" s="556" t="s">
        <v>2559</v>
      </c>
      <c r="J50" s="557" t="s">
        <v>3110</v>
      </c>
      <c r="K50" s="558" t="s">
        <v>3577</v>
      </c>
      <c r="L50" s="95"/>
      <c r="M50" s="104"/>
      <c r="N50" s="137">
        <v>2055895.02</v>
      </c>
      <c r="O50" s="138">
        <v>2273000</v>
      </c>
      <c r="P50" s="138">
        <v>2298000</v>
      </c>
      <c r="Q50" s="138">
        <v>2413000</v>
      </c>
      <c r="R50" s="138">
        <v>2534000</v>
      </c>
      <c r="S50" s="139">
        <v>2661000</v>
      </c>
      <c r="T50" s="322">
        <f t="shared" si="0"/>
        <v>357104.98</v>
      </c>
      <c r="U50" s="140">
        <f t="shared" si="1"/>
        <v>0.1736980616841029</v>
      </c>
      <c r="V50" s="322">
        <f t="shared" si="2"/>
        <v>140000</v>
      </c>
      <c r="W50" s="140">
        <f t="shared" si="3"/>
        <v>6.1592608886933568E-2</v>
      </c>
      <c r="X50" s="322">
        <f t="shared" si="4"/>
        <v>115000</v>
      </c>
      <c r="Y50" s="140">
        <f t="shared" si="5"/>
        <v>5.0043516100957357E-2</v>
      </c>
      <c r="Z50" s="519">
        <v>1723490.15</v>
      </c>
      <c r="AA50" s="111">
        <f t="shared" si="6"/>
        <v>2297986.8666666667</v>
      </c>
      <c r="AB50" s="111">
        <f t="shared" si="7"/>
        <v>13.133333333302289</v>
      </c>
    </row>
    <row r="51" spans="1:28" ht="25.5" customHeight="1">
      <c r="A51" s="115" t="s">
        <v>2560</v>
      </c>
      <c r="B51" s="124" t="s">
        <v>2553</v>
      </c>
      <c r="C51" s="101" t="s">
        <v>3187</v>
      </c>
      <c r="D51" s="101" t="s">
        <v>3185</v>
      </c>
      <c r="E51" s="554" t="s">
        <v>1904</v>
      </c>
      <c r="F51" s="534" t="s">
        <v>1903</v>
      </c>
      <c r="G51" s="555"/>
      <c r="H51" s="555"/>
      <c r="I51" s="556"/>
      <c r="J51" s="557"/>
      <c r="K51" s="558"/>
      <c r="L51" s="95"/>
      <c r="M51" s="104"/>
      <c r="N51" s="137">
        <v>0</v>
      </c>
      <c r="O51" s="138">
        <v>0</v>
      </c>
      <c r="P51" s="138">
        <v>0</v>
      </c>
      <c r="Q51" s="138">
        <v>0</v>
      </c>
      <c r="R51" s="138">
        <v>0</v>
      </c>
      <c r="S51" s="139">
        <v>0</v>
      </c>
      <c r="T51" s="322">
        <f t="shared" si="0"/>
        <v>0</v>
      </c>
      <c r="U51" s="140" t="str">
        <f t="shared" si="1"/>
        <v/>
      </c>
      <c r="V51" s="322">
        <f t="shared" si="2"/>
        <v>0</v>
      </c>
      <c r="W51" s="140" t="str">
        <f t="shared" si="3"/>
        <v/>
      </c>
      <c r="X51" s="322">
        <f t="shared" si="4"/>
        <v>0</v>
      </c>
      <c r="Y51" s="140" t="str">
        <f t="shared" si="5"/>
        <v/>
      </c>
      <c r="Z51" s="519">
        <v>0</v>
      </c>
      <c r="AA51" s="111">
        <f t="shared" si="6"/>
        <v>0</v>
      </c>
      <c r="AB51" s="111">
        <f t="shared" si="7"/>
        <v>0</v>
      </c>
    </row>
    <row r="52" spans="1:28" ht="25.5" customHeight="1">
      <c r="A52" s="114" t="s">
        <v>1905</v>
      </c>
      <c r="B52" s="125" t="s">
        <v>2553</v>
      </c>
      <c r="C52" s="97" t="s">
        <v>3187</v>
      </c>
      <c r="D52" s="97" t="s">
        <v>3183</v>
      </c>
      <c r="E52" s="559" t="s">
        <v>1904</v>
      </c>
      <c r="F52" s="540" t="s">
        <v>1903</v>
      </c>
      <c r="G52" s="555" t="s">
        <v>1730</v>
      </c>
      <c r="H52" s="555" t="s">
        <v>2558</v>
      </c>
      <c r="I52" s="556" t="s">
        <v>2559</v>
      </c>
      <c r="J52" s="557" t="s">
        <v>3110</v>
      </c>
      <c r="K52" s="558" t="s">
        <v>3577</v>
      </c>
      <c r="L52" s="95"/>
      <c r="M52" s="104"/>
      <c r="N52" s="137">
        <v>466271.43</v>
      </c>
      <c r="O52" s="138">
        <v>748000</v>
      </c>
      <c r="P52" s="138">
        <v>480000</v>
      </c>
      <c r="Q52" s="138">
        <v>504000</v>
      </c>
      <c r="R52" s="138">
        <v>529000</v>
      </c>
      <c r="S52" s="139">
        <v>555000</v>
      </c>
      <c r="T52" s="322">
        <f t="shared" si="0"/>
        <v>37728.570000000007</v>
      </c>
      <c r="U52" s="140">
        <f t="shared" si="1"/>
        <v>8.0915465912204845E-2</v>
      </c>
      <c r="V52" s="322">
        <f t="shared" si="2"/>
        <v>-244000</v>
      </c>
      <c r="W52" s="140">
        <f t="shared" si="3"/>
        <v>-0.32620320855614976</v>
      </c>
      <c r="X52" s="322">
        <f t="shared" si="4"/>
        <v>24000</v>
      </c>
      <c r="Y52" s="140">
        <f t="shared" si="5"/>
        <v>0.05</v>
      </c>
      <c r="Z52" s="519">
        <v>360215.4</v>
      </c>
      <c r="AA52" s="111">
        <f t="shared" si="6"/>
        <v>480287.2</v>
      </c>
      <c r="AB52" s="111">
        <f t="shared" si="7"/>
        <v>-287.20000000001164</v>
      </c>
    </row>
    <row r="53" spans="1:28" ht="31.5">
      <c r="A53" s="115" t="s">
        <v>1906</v>
      </c>
      <c r="B53" s="124" t="s">
        <v>2553</v>
      </c>
      <c r="C53" s="101" t="s">
        <v>3189</v>
      </c>
      <c r="D53" s="101" t="s">
        <v>3185</v>
      </c>
      <c r="E53" s="554" t="s">
        <v>1908</v>
      </c>
      <c r="F53" s="534" t="s">
        <v>1907</v>
      </c>
      <c r="G53" s="555"/>
      <c r="H53" s="555"/>
      <c r="I53" s="556"/>
      <c r="J53" s="557"/>
      <c r="K53" s="558"/>
      <c r="L53" s="95"/>
      <c r="M53" s="104"/>
      <c r="N53" s="137">
        <v>0</v>
      </c>
      <c r="O53" s="138">
        <v>0</v>
      </c>
      <c r="P53" s="138">
        <v>0</v>
      </c>
      <c r="Q53" s="138">
        <v>0</v>
      </c>
      <c r="R53" s="138">
        <v>0</v>
      </c>
      <c r="S53" s="139">
        <v>0</v>
      </c>
      <c r="T53" s="322">
        <f t="shared" si="0"/>
        <v>0</v>
      </c>
      <c r="U53" s="140" t="str">
        <f t="shared" si="1"/>
        <v/>
      </c>
      <c r="V53" s="322">
        <f t="shared" si="2"/>
        <v>0</v>
      </c>
      <c r="W53" s="140" t="str">
        <f t="shared" si="3"/>
        <v/>
      </c>
      <c r="X53" s="322">
        <f t="shared" si="4"/>
        <v>0</v>
      </c>
      <c r="Y53" s="140" t="str">
        <f t="shared" si="5"/>
        <v/>
      </c>
      <c r="Z53" s="519">
        <v>0</v>
      </c>
      <c r="AA53" s="111">
        <f t="shared" si="6"/>
        <v>0</v>
      </c>
      <c r="AB53" s="111">
        <f t="shared" si="7"/>
        <v>0</v>
      </c>
    </row>
    <row r="54" spans="1:28" ht="31.5">
      <c r="A54" s="114" t="s">
        <v>1909</v>
      </c>
      <c r="B54" s="125" t="s">
        <v>2553</v>
      </c>
      <c r="C54" s="97" t="s">
        <v>3189</v>
      </c>
      <c r="D54" s="97" t="s">
        <v>3183</v>
      </c>
      <c r="E54" s="559" t="s">
        <v>1908</v>
      </c>
      <c r="F54" s="540" t="s">
        <v>1907</v>
      </c>
      <c r="G54" s="555" t="s">
        <v>1730</v>
      </c>
      <c r="H54" s="555" t="s">
        <v>2558</v>
      </c>
      <c r="I54" s="556" t="s">
        <v>2559</v>
      </c>
      <c r="J54" s="557" t="s">
        <v>3110</v>
      </c>
      <c r="K54" s="558" t="s">
        <v>3577</v>
      </c>
      <c r="L54" s="95"/>
      <c r="M54" s="104"/>
      <c r="N54" s="137">
        <v>378240.94</v>
      </c>
      <c r="O54" s="138">
        <v>467000</v>
      </c>
      <c r="P54" s="138">
        <v>338000</v>
      </c>
      <c r="Q54" s="138">
        <v>355000</v>
      </c>
      <c r="R54" s="138">
        <v>373000</v>
      </c>
      <c r="S54" s="139">
        <v>392000</v>
      </c>
      <c r="T54" s="322">
        <f t="shared" si="0"/>
        <v>-23240.940000000002</v>
      </c>
      <c r="U54" s="140">
        <f t="shared" si="1"/>
        <v>-6.1444802881464929E-2</v>
      </c>
      <c r="V54" s="322">
        <f t="shared" si="2"/>
        <v>-112000</v>
      </c>
      <c r="W54" s="140">
        <f t="shared" si="3"/>
        <v>-0.2398286937901499</v>
      </c>
      <c r="X54" s="322">
        <f t="shared" si="4"/>
        <v>17000</v>
      </c>
      <c r="Y54" s="140">
        <f t="shared" si="5"/>
        <v>5.0295857988165681E-2</v>
      </c>
      <c r="Z54" s="519">
        <v>253039.74</v>
      </c>
      <c r="AA54" s="111">
        <f t="shared" si="6"/>
        <v>337386.32</v>
      </c>
      <c r="AB54" s="111">
        <f t="shared" si="7"/>
        <v>613.67999999999302</v>
      </c>
    </row>
    <row r="55" spans="1:28" ht="25.5" customHeight="1">
      <c r="A55" s="115" t="s">
        <v>1910</v>
      </c>
      <c r="B55" s="124" t="s">
        <v>2553</v>
      </c>
      <c r="C55" s="101" t="s">
        <v>3190</v>
      </c>
      <c r="D55" s="101" t="s">
        <v>3185</v>
      </c>
      <c r="E55" s="554" t="s">
        <v>4379</v>
      </c>
      <c r="F55" s="534" t="s">
        <v>1911</v>
      </c>
      <c r="G55" s="555"/>
      <c r="H55" s="555"/>
      <c r="I55" s="556"/>
      <c r="J55" s="557"/>
      <c r="K55" s="558"/>
      <c r="L55" s="95"/>
      <c r="M55" s="104"/>
      <c r="N55" s="137">
        <v>0</v>
      </c>
      <c r="O55" s="138">
        <v>0</v>
      </c>
      <c r="P55" s="138">
        <v>0</v>
      </c>
      <c r="Q55" s="138">
        <v>0</v>
      </c>
      <c r="R55" s="138">
        <v>0</v>
      </c>
      <c r="S55" s="139">
        <v>0</v>
      </c>
      <c r="T55" s="322">
        <f t="shared" si="0"/>
        <v>0</v>
      </c>
      <c r="U55" s="140" t="str">
        <f t="shared" si="1"/>
        <v/>
      </c>
      <c r="V55" s="322">
        <f t="shared" si="2"/>
        <v>0</v>
      </c>
      <c r="W55" s="140" t="str">
        <f t="shared" si="3"/>
        <v/>
      </c>
      <c r="X55" s="322">
        <f t="shared" si="4"/>
        <v>0</v>
      </c>
      <c r="Y55" s="140" t="str">
        <f t="shared" si="5"/>
        <v/>
      </c>
      <c r="Z55" s="519">
        <v>0</v>
      </c>
      <c r="AA55" s="111">
        <f t="shared" si="6"/>
        <v>0</v>
      </c>
      <c r="AB55" s="111">
        <f t="shared" si="7"/>
        <v>0</v>
      </c>
    </row>
    <row r="56" spans="1:28" ht="25.5" customHeight="1">
      <c r="A56" s="114" t="s">
        <v>1912</v>
      </c>
      <c r="B56" s="125" t="s">
        <v>2553</v>
      </c>
      <c r="C56" s="97" t="s">
        <v>3190</v>
      </c>
      <c r="D56" s="97" t="s">
        <v>3183</v>
      </c>
      <c r="E56" s="559" t="s">
        <v>4379</v>
      </c>
      <c r="F56" s="540" t="s">
        <v>1911</v>
      </c>
      <c r="G56" s="555" t="s">
        <v>1730</v>
      </c>
      <c r="H56" s="555" t="s">
        <v>2558</v>
      </c>
      <c r="I56" s="556" t="s">
        <v>2559</v>
      </c>
      <c r="J56" s="557" t="s">
        <v>3110</v>
      </c>
      <c r="K56" s="558" t="s">
        <v>3577</v>
      </c>
      <c r="L56" s="95"/>
      <c r="M56" s="104"/>
      <c r="N56" s="137">
        <v>5511.54</v>
      </c>
      <c r="O56" s="138">
        <v>7000</v>
      </c>
      <c r="P56" s="138">
        <v>6000</v>
      </c>
      <c r="Q56" s="138">
        <v>6000</v>
      </c>
      <c r="R56" s="138">
        <v>6000</v>
      </c>
      <c r="S56" s="139">
        <v>6000</v>
      </c>
      <c r="T56" s="322">
        <f t="shared" si="0"/>
        <v>488.46000000000004</v>
      </c>
      <c r="U56" s="140">
        <f t="shared" si="1"/>
        <v>8.862495781578289E-2</v>
      </c>
      <c r="V56" s="322">
        <f t="shared" si="2"/>
        <v>-1000</v>
      </c>
      <c r="W56" s="140">
        <f t="shared" si="3"/>
        <v>-0.14285714285714285</v>
      </c>
      <c r="X56" s="322">
        <f t="shared" si="4"/>
        <v>0</v>
      </c>
      <c r="Y56" s="140">
        <f t="shared" si="5"/>
        <v>0</v>
      </c>
      <c r="Z56" s="519">
        <v>4081.45</v>
      </c>
      <c r="AA56" s="111">
        <f t="shared" si="6"/>
        <v>5441.9333333333334</v>
      </c>
      <c r="AB56" s="111">
        <f t="shared" si="7"/>
        <v>558.06666666666661</v>
      </c>
    </row>
    <row r="57" spans="1:28" ht="25.5" customHeight="1">
      <c r="A57" s="113" t="s">
        <v>1913</v>
      </c>
      <c r="B57" s="135" t="s">
        <v>1914</v>
      </c>
      <c r="C57" s="136" t="s">
        <v>3184</v>
      </c>
      <c r="D57" s="136" t="s">
        <v>3185</v>
      </c>
      <c r="E57" s="529" t="s">
        <v>4380</v>
      </c>
      <c r="F57" s="529" t="s">
        <v>4381</v>
      </c>
      <c r="G57" s="530"/>
      <c r="H57" s="530"/>
      <c r="I57" s="531"/>
      <c r="J57" s="532"/>
      <c r="K57" s="533"/>
      <c r="L57" s="95"/>
      <c r="M57" s="147"/>
      <c r="N57" s="137">
        <v>0</v>
      </c>
      <c r="O57" s="138">
        <v>0</v>
      </c>
      <c r="P57" s="138">
        <v>0</v>
      </c>
      <c r="Q57" s="138">
        <v>0</v>
      </c>
      <c r="R57" s="138">
        <v>0</v>
      </c>
      <c r="S57" s="139">
        <v>0</v>
      </c>
      <c r="T57" s="322">
        <f t="shared" si="0"/>
        <v>0</v>
      </c>
      <c r="U57" s="140" t="str">
        <f t="shared" si="1"/>
        <v/>
      </c>
      <c r="V57" s="322">
        <f t="shared" si="2"/>
        <v>0</v>
      </c>
      <c r="W57" s="140" t="str">
        <f t="shared" si="3"/>
        <v/>
      </c>
      <c r="X57" s="322">
        <f t="shared" si="4"/>
        <v>0</v>
      </c>
      <c r="Y57" s="140" t="str">
        <f t="shared" si="5"/>
        <v/>
      </c>
      <c r="Z57" s="519">
        <v>0</v>
      </c>
      <c r="AA57" s="111">
        <f t="shared" si="6"/>
        <v>0</v>
      </c>
      <c r="AB57" s="111">
        <f t="shared" si="7"/>
        <v>0</v>
      </c>
    </row>
    <row r="58" spans="1:28" ht="25.5" customHeight="1">
      <c r="A58" s="115" t="s">
        <v>1915</v>
      </c>
      <c r="B58" s="124" t="s">
        <v>1914</v>
      </c>
      <c r="C58" s="101" t="s">
        <v>3186</v>
      </c>
      <c r="D58" s="101" t="s">
        <v>3185</v>
      </c>
      <c r="E58" s="554" t="s">
        <v>1917</v>
      </c>
      <c r="F58" s="534" t="s">
        <v>1916</v>
      </c>
      <c r="G58" s="555"/>
      <c r="H58" s="555"/>
      <c r="I58" s="556"/>
      <c r="J58" s="557"/>
      <c r="K58" s="558"/>
      <c r="L58" s="95"/>
      <c r="M58" s="104"/>
      <c r="N58" s="137">
        <v>0</v>
      </c>
      <c r="O58" s="138">
        <v>0</v>
      </c>
      <c r="P58" s="138">
        <v>0</v>
      </c>
      <c r="Q58" s="138">
        <v>0</v>
      </c>
      <c r="R58" s="138">
        <v>0</v>
      </c>
      <c r="S58" s="139">
        <v>0</v>
      </c>
      <c r="T58" s="322">
        <f t="shared" si="0"/>
        <v>0</v>
      </c>
      <c r="U58" s="140" t="str">
        <f t="shared" si="1"/>
        <v/>
      </c>
      <c r="V58" s="322">
        <f t="shared" si="2"/>
        <v>0</v>
      </c>
      <c r="W58" s="140" t="str">
        <f t="shared" si="3"/>
        <v/>
      </c>
      <c r="X58" s="322">
        <f t="shared" si="4"/>
        <v>0</v>
      </c>
      <c r="Y58" s="140" t="str">
        <f t="shared" si="5"/>
        <v/>
      </c>
      <c r="Z58" s="519">
        <v>0</v>
      </c>
      <c r="AA58" s="111">
        <f t="shared" si="6"/>
        <v>0</v>
      </c>
      <c r="AB58" s="111">
        <f t="shared" si="7"/>
        <v>0</v>
      </c>
    </row>
    <row r="59" spans="1:28" ht="25.5" customHeight="1">
      <c r="A59" s="114" t="s">
        <v>1918</v>
      </c>
      <c r="B59" s="125" t="s">
        <v>1914</v>
      </c>
      <c r="C59" s="97" t="s">
        <v>3186</v>
      </c>
      <c r="D59" s="97" t="s">
        <v>3183</v>
      </c>
      <c r="E59" s="559" t="s">
        <v>1917</v>
      </c>
      <c r="F59" s="540" t="s">
        <v>1916</v>
      </c>
      <c r="G59" s="555" t="s">
        <v>36</v>
      </c>
      <c r="H59" s="555" t="s">
        <v>1919</v>
      </c>
      <c r="I59" s="556" t="s">
        <v>3007</v>
      </c>
      <c r="J59" s="557" t="s">
        <v>2882</v>
      </c>
      <c r="K59" s="558" t="s">
        <v>2883</v>
      </c>
      <c r="L59" s="95"/>
      <c r="M59" s="104"/>
      <c r="N59" s="137">
        <v>7174637.5099999998</v>
      </c>
      <c r="O59" s="138">
        <v>7470000</v>
      </c>
      <c r="P59" s="138">
        <v>7500000</v>
      </c>
      <c r="Q59" s="138">
        <v>7875000</v>
      </c>
      <c r="R59" s="138">
        <v>8269000</v>
      </c>
      <c r="S59" s="139">
        <v>8682000</v>
      </c>
      <c r="T59" s="322">
        <f t="shared" si="0"/>
        <v>700362.49000000022</v>
      </c>
      <c r="U59" s="140">
        <f t="shared" si="1"/>
        <v>9.7616428568528507E-2</v>
      </c>
      <c r="V59" s="322">
        <f t="shared" si="2"/>
        <v>405000</v>
      </c>
      <c r="W59" s="140">
        <f t="shared" si="3"/>
        <v>5.4216867469879519E-2</v>
      </c>
      <c r="X59" s="322">
        <f t="shared" si="4"/>
        <v>375000</v>
      </c>
      <c r="Y59" s="140">
        <f t="shared" si="5"/>
        <v>0.05</v>
      </c>
      <c r="Z59" s="519">
        <v>5624687.7800000003</v>
      </c>
      <c r="AA59" s="111">
        <f t="shared" si="6"/>
        <v>7499583.706666667</v>
      </c>
      <c r="AB59" s="111">
        <f t="shared" si="7"/>
        <v>416.29333333298564</v>
      </c>
    </row>
    <row r="60" spans="1:28" ht="25.5" customHeight="1">
      <c r="A60" s="116" t="s">
        <v>3008</v>
      </c>
      <c r="B60" s="126" t="s">
        <v>1914</v>
      </c>
      <c r="C60" s="98" t="s">
        <v>3186</v>
      </c>
      <c r="D60" s="98" t="s">
        <v>3193</v>
      </c>
      <c r="E60" s="540" t="s">
        <v>3009</v>
      </c>
      <c r="F60" s="540" t="s">
        <v>3010</v>
      </c>
      <c r="G60" s="511" t="s">
        <v>38</v>
      </c>
      <c r="H60" s="511" t="s">
        <v>3011</v>
      </c>
      <c r="I60" s="544" t="s">
        <v>3012</v>
      </c>
      <c r="J60" s="557" t="s">
        <v>2882</v>
      </c>
      <c r="K60" s="558" t="s">
        <v>2883</v>
      </c>
      <c r="L60" s="95"/>
      <c r="M60" s="104"/>
      <c r="N60" s="137">
        <v>0</v>
      </c>
      <c r="O60" s="138">
        <v>0</v>
      </c>
      <c r="P60" s="138">
        <v>119000</v>
      </c>
      <c r="Q60" s="138">
        <v>125000</v>
      </c>
      <c r="R60" s="138">
        <v>131000</v>
      </c>
      <c r="S60" s="139">
        <v>138000</v>
      </c>
      <c r="T60" s="322">
        <f t="shared" si="0"/>
        <v>125000</v>
      </c>
      <c r="U60" s="140" t="str">
        <f t="shared" si="1"/>
        <v/>
      </c>
      <c r="V60" s="322">
        <f t="shared" si="2"/>
        <v>125000</v>
      </c>
      <c r="W60" s="140" t="str">
        <f t="shared" si="3"/>
        <v/>
      </c>
      <c r="X60" s="322">
        <f t="shared" si="4"/>
        <v>6000</v>
      </c>
      <c r="Y60" s="140">
        <f t="shared" si="5"/>
        <v>5.0420168067226892E-2</v>
      </c>
      <c r="Z60" s="519">
        <v>89483.94</v>
      </c>
      <c r="AA60" s="111">
        <f t="shared" si="6"/>
        <v>119311.92</v>
      </c>
      <c r="AB60" s="111">
        <f t="shared" si="7"/>
        <v>-311.91999999999825</v>
      </c>
    </row>
    <row r="61" spans="1:28" ht="25.5" customHeight="1">
      <c r="A61" s="115" t="s">
        <v>1922</v>
      </c>
      <c r="B61" s="124" t="s">
        <v>1914</v>
      </c>
      <c r="C61" s="101" t="s">
        <v>3187</v>
      </c>
      <c r="D61" s="101" t="s">
        <v>3185</v>
      </c>
      <c r="E61" s="554" t="s">
        <v>1924</v>
      </c>
      <c r="F61" s="534" t="s">
        <v>1923</v>
      </c>
      <c r="G61" s="555"/>
      <c r="H61" s="555"/>
      <c r="I61" s="556"/>
      <c r="J61" s="557"/>
      <c r="K61" s="558"/>
      <c r="L61" s="95"/>
      <c r="M61" s="104"/>
      <c r="N61" s="137">
        <v>0</v>
      </c>
      <c r="O61" s="138">
        <v>0</v>
      </c>
      <c r="P61" s="138">
        <v>0</v>
      </c>
      <c r="Q61" s="138">
        <v>0</v>
      </c>
      <c r="R61" s="138">
        <v>0</v>
      </c>
      <c r="S61" s="139">
        <v>0</v>
      </c>
      <c r="T61" s="322">
        <f t="shared" si="0"/>
        <v>0</v>
      </c>
      <c r="U61" s="140" t="str">
        <f t="shared" si="1"/>
        <v/>
      </c>
      <c r="V61" s="322">
        <f t="shared" si="2"/>
        <v>0</v>
      </c>
      <c r="W61" s="140" t="str">
        <f t="shared" si="3"/>
        <v/>
      </c>
      <c r="X61" s="322">
        <f t="shared" si="4"/>
        <v>0</v>
      </c>
      <c r="Y61" s="140" t="str">
        <f t="shared" si="5"/>
        <v/>
      </c>
      <c r="Z61" s="519">
        <v>0</v>
      </c>
      <c r="AA61" s="111">
        <f t="shared" si="6"/>
        <v>0</v>
      </c>
      <c r="AB61" s="111">
        <f t="shared" si="7"/>
        <v>0</v>
      </c>
    </row>
    <row r="62" spans="1:28" ht="25.5" customHeight="1">
      <c r="A62" s="114" t="s">
        <v>1925</v>
      </c>
      <c r="B62" s="125" t="s">
        <v>1914</v>
      </c>
      <c r="C62" s="97" t="s">
        <v>3187</v>
      </c>
      <c r="D62" s="97" t="s">
        <v>3183</v>
      </c>
      <c r="E62" s="559" t="s">
        <v>1924</v>
      </c>
      <c r="F62" s="540" t="s">
        <v>1923</v>
      </c>
      <c r="G62" s="555" t="s">
        <v>40</v>
      </c>
      <c r="H62" s="555" t="s">
        <v>1926</v>
      </c>
      <c r="I62" s="556" t="s">
        <v>3013</v>
      </c>
      <c r="J62" s="557" t="s">
        <v>2882</v>
      </c>
      <c r="K62" s="558" t="s">
        <v>2883</v>
      </c>
      <c r="L62" s="95"/>
      <c r="M62" s="104"/>
      <c r="N62" s="137">
        <v>8434668.3499999996</v>
      </c>
      <c r="O62" s="138">
        <v>9411000</v>
      </c>
      <c r="P62" s="138">
        <v>8889000</v>
      </c>
      <c r="Q62" s="138">
        <v>9233000</v>
      </c>
      <c r="R62" s="138">
        <v>9800000</v>
      </c>
      <c r="S62" s="139">
        <v>10190000</v>
      </c>
      <c r="T62" s="322">
        <f t="shared" si="0"/>
        <v>798331.65000000037</v>
      </c>
      <c r="U62" s="140">
        <f t="shared" si="1"/>
        <v>9.464884887856917E-2</v>
      </c>
      <c r="V62" s="322">
        <f t="shared" si="2"/>
        <v>-178000</v>
      </c>
      <c r="W62" s="140">
        <f t="shared" si="3"/>
        <v>-1.8914036765487197E-2</v>
      </c>
      <c r="X62" s="322">
        <f t="shared" si="4"/>
        <v>344000</v>
      </c>
      <c r="Y62" s="140">
        <f t="shared" si="5"/>
        <v>3.8699516256046798E-2</v>
      </c>
      <c r="Z62" s="519">
        <v>6666682.7699999996</v>
      </c>
      <c r="AA62" s="111">
        <f t="shared" si="6"/>
        <v>8888910.3599999994</v>
      </c>
      <c r="AB62" s="111">
        <f t="shared" si="7"/>
        <v>89.640000000596046</v>
      </c>
    </row>
    <row r="63" spans="1:28" ht="25.5" customHeight="1">
      <c r="A63" s="115" t="s">
        <v>1927</v>
      </c>
      <c r="B63" s="124" t="s">
        <v>1914</v>
      </c>
      <c r="C63" s="101" t="s">
        <v>3189</v>
      </c>
      <c r="D63" s="101" t="s">
        <v>3185</v>
      </c>
      <c r="E63" s="554" t="s">
        <v>1929</v>
      </c>
      <c r="F63" s="534" t="s">
        <v>1928</v>
      </c>
      <c r="G63" s="555"/>
      <c r="H63" s="555"/>
      <c r="I63" s="556"/>
      <c r="J63" s="557"/>
      <c r="K63" s="558"/>
      <c r="L63" s="95"/>
      <c r="M63" s="104"/>
      <c r="N63" s="137">
        <v>0</v>
      </c>
      <c r="O63" s="138">
        <v>0</v>
      </c>
      <c r="P63" s="138">
        <v>0</v>
      </c>
      <c r="Q63" s="138">
        <v>0</v>
      </c>
      <c r="R63" s="138">
        <v>0</v>
      </c>
      <c r="S63" s="139">
        <v>0</v>
      </c>
      <c r="T63" s="322">
        <f t="shared" si="0"/>
        <v>0</v>
      </c>
      <c r="U63" s="140" t="str">
        <f t="shared" si="1"/>
        <v/>
      </c>
      <c r="V63" s="322">
        <f t="shared" si="2"/>
        <v>0</v>
      </c>
      <c r="W63" s="140" t="str">
        <f t="shared" si="3"/>
        <v/>
      </c>
      <c r="X63" s="322">
        <f t="shared" si="4"/>
        <v>0</v>
      </c>
      <c r="Y63" s="140" t="str">
        <f t="shared" si="5"/>
        <v/>
      </c>
      <c r="Z63" s="519">
        <v>0</v>
      </c>
      <c r="AA63" s="111">
        <f t="shared" si="6"/>
        <v>0</v>
      </c>
      <c r="AB63" s="111">
        <f t="shared" si="7"/>
        <v>0</v>
      </c>
    </row>
    <row r="64" spans="1:28" ht="25.5" customHeight="1">
      <c r="A64" s="114" t="s">
        <v>1930</v>
      </c>
      <c r="B64" s="125" t="s">
        <v>1914</v>
      </c>
      <c r="C64" s="97" t="s">
        <v>3189</v>
      </c>
      <c r="D64" s="97" t="s">
        <v>3183</v>
      </c>
      <c r="E64" s="559" t="s">
        <v>1932</v>
      </c>
      <c r="F64" s="540" t="s">
        <v>1931</v>
      </c>
      <c r="G64" s="555" t="s">
        <v>546</v>
      </c>
      <c r="H64" s="555" t="s">
        <v>3014</v>
      </c>
      <c r="I64" s="556" t="s">
        <v>3015</v>
      </c>
      <c r="J64" s="557" t="s">
        <v>2882</v>
      </c>
      <c r="K64" s="558" t="s">
        <v>2883</v>
      </c>
      <c r="L64" s="95"/>
      <c r="M64" s="104"/>
      <c r="N64" s="137">
        <v>3803193</v>
      </c>
      <c r="O64" s="138">
        <v>4671000</v>
      </c>
      <c r="P64" s="138">
        <v>4190000</v>
      </c>
      <c r="Q64" s="138">
        <v>4509000</v>
      </c>
      <c r="R64" s="138">
        <v>5070000</v>
      </c>
      <c r="S64" s="139">
        <v>5477000</v>
      </c>
      <c r="T64" s="322">
        <f t="shared" si="0"/>
        <v>705807</v>
      </c>
      <c r="U64" s="140">
        <f t="shared" si="1"/>
        <v>0.18558274586643381</v>
      </c>
      <c r="V64" s="322">
        <f t="shared" si="2"/>
        <v>-162000</v>
      </c>
      <c r="W64" s="140">
        <f t="shared" si="3"/>
        <v>-3.4682080924855488E-2</v>
      </c>
      <c r="X64" s="322">
        <f t="shared" si="4"/>
        <v>319000</v>
      </c>
      <c r="Y64" s="140">
        <f t="shared" si="5"/>
        <v>7.6133651551312645E-2</v>
      </c>
      <c r="Z64" s="519">
        <v>3142214.6</v>
      </c>
      <c r="AA64" s="111">
        <f t="shared" si="6"/>
        <v>4189619.4666666668</v>
      </c>
      <c r="AB64" s="111">
        <f t="shared" si="7"/>
        <v>380.53333333320916</v>
      </c>
    </row>
    <row r="65" spans="1:28" ht="25.5" customHeight="1">
      <c r="A65" s="116" t="s">
        <v>1933</v>
      </c>
      <c r="B65" s="126" t="s">
        <v>1914</v>
      </c>
      <c r="C65" s="98" t="s">
        <v>3189</v>
      </c>
      <c r="D65" s="98" t="s">
        <v>2137</v>
      </c>
      <c r="E65" s="540" t="s">
        <v>1935</v>
      </c>
      <c r="F65" s="540" t="s">
        <v>1934</v>
      </c>
      <c r="G65" s="555" t="s">
        <v>546</v>
      </c>
      <c r="H65" s="555" t="s">
        <v>3014</v>
      </c>
      <c r="I65" s="556" t="s">
        <v>3015</v>
      </c>
      <c r="J65" s="557" t="s">
        <v>2882</v>
      </c>
      <c r="K65" s="558" t="s">
        <v>2883</v>
      </c>
      <c r="L65" s="95"/>
      <c r="M65" s="104"/>
      <c r="N65" s="137">
        <v>2274704.2200000002</v>
      </c>
      <c r="O65" s="138">
        <v>2338000</v>
      </c>
      <c r="P65" s="138">
        <v>2338000</v>
      </c>
      <c r="Q65" s="138">
        <v>2408000</v>
      </c>
      <c r="R65" s="138">
        <v>2480000</v>
      </c>
      <c r="S65" s="139">
        <v>2554000</v>
      </c>
      <c r="T65" s="322">
        <f t="shared" si="0"/>
        <v>133295.7799999998</v>
      </c>
      <c r="U65" s="140">
        <f t="shared" si="1"/>
        <v>5.8599170313228588E-2</v>
      </c>
      <c r="V65" s="322">
        <f t="shared" si="2"/>
        <v>70000</v>
      </c>
      <c r="W65" s="140">
        <f t="shared" si="3"/>
        <v>2.9940119760479042E-2</v>
      </c>
      <c r="X65" s="322">
        <f t="shared" si="4"/>
        <v>70000</v>
      </c>
      <c r="Y65" s="140">
        <f t="shared" si="5"/>
        <v>2.9940119760479042E-2</v>
      </c>
      <c r="Z65" s="519">
        <v>1753266.26</v>
      </c>
      <c r="AA65" s="111">
        <f t="shared" si="6"/>
        <v>2337688.3466666667</v>
      </c>
      <c r="AB65" s="111">
        <f t="shared" si="7"/>
        <v>311.65333333332092</v>
      </c>
    </row>
    <row r="66" spans="1:28" ht="25.5" customHeight="1">
      <c r="A66" s="115" t="s">
        <v>1936</v>
      </c>
      <c r="B66" s="124" t="s">
        <v>1914</v>
      </c>
      <c r="C66" s="101" t="s">
        <v>3190</v>
      </c>
      <c r="D66" s="101" t="s">
        <v>3185</v>
      </c>
      <c r="E66" s="554" t="s">
        <v>1938</v>
      </c>
      <c r="F66" s="534" t="s">
        <v>1937</v>
      </c>
      <c r="G66" s="555"/>
      <c r="H66" s="555"/>
      <c r="I66" s="556"/>
      <c r="J66" s="557"/>
      <c r="K66" s="558"/>
      <c r="L66" s="95"/>
      <c r="M66" s="104"/>
      <c r="N66" s="137">
        <v>0</v>
      </c>
      <c r="O66" s="138">
        <v>0</v>
      </c>
      <c r="P66" s="138">
        <v>0</v>
      </c>
      <c r="Q66" s="138">
        <v>0</v>
      </c>
      <c r="R66" s="138">
        <v>0</v>
      </c>
      <c r="S66" s="139">
        <v>0</v>
      </c>
      <c r="T66" s="322">
        <f t="shared" si="0"/>
        <v>0</v>
      </c>
      <c r="U66" s="140" t="str">
        <f t="shared" si="1"/>
        <v/>
      </c>
      <c r="V66" s="322">
        <f t="shared" si="2"/>
        <v>0</v>
      </c>
      <c r="W66" s="140" t="str">
        <f t="shared" si="3"/>
        <v/>
      </c>
      <c r="X66" s="322">
        <f t="shared" si="4"/>
        <v>0</v>
      </c>
      <c r="Y66" s="140" t="str">
        <f t="shared" si="5"/>
        <v/>
      </c>
      <c r="Z66" s="519">
        <v>0</v>
      </c>
      <c r="AA66" s="111">
        <f t="shared" si="6"/>
        <v>0</v>
      </c>
      <c r="AB66" s="111">
        <f t="shared" si="7"/>
        <v>0</v>
      </c>
    </row>
    <row r="67" spans="1:28" ht="25.5" customHeight="1">
      <c r="A67" s="114" t="s">
        <v>1939</v>
      </c>
      <c r="B67" s="125" t="s">
        <v>1914</v>
      </c>
      <c r="C67" s="97" t="s">
        <v>3190</v>
      </c>
      <c r="D67" s="97" t="s">
        <v>3183</v>
      </c>
      <c r="E67" s="559" t="s">
        <v>1938</v>
      </c>
      <c r="F67" s="540" t="s">
        <v>1937</v>
      </c>
      <c r="G67" s="555" t="s">
        <v>544</v>
      </c>
      <c r="H67" s="555" t="s">
        <v>3016</v>
      </c>
      <c r="I67" s="556" t="s">
        <v>3017</v>
      </c>
      <c r="J67" s="557" t="s">
        <v>2882</v>
      </c>
      <c r="K67" s="558" t="s">
        <v>2883</v>
      </c>
      <c r="L67" s="95"/>
      <c r="M67" s="104"/>
      <c r="N67" s="137">
        <v>393979.35</v>
      </c>
      <c r="O67" s="138">
        <v>414000</v>
      </c>
      <c r="P67" s="138">
        <v>414000</v>
      </c>
      <c r="Q67" s="138">
        <v>426000</v>
      </c>
      <c r="R67" s="138">
        <v>439000</v>
      </c>
      <c r="S67" s="139">
        <v>452000</v>
      </c>
      <c r="T67" s="322">
        <f t="shared" si="0"/>
        <v>32020.650000000023</v>
      </c>
      <c r="U67" s="140">
        <f t="shared" si="1"/>
        <v>8.127494499394454E-2</v>
      </c>
      <c r="V67" s="322">
        <f t="shared" si="2"/>
        <v>12000</v>
      </c>
      <c r="W67" s="140">
        <f t="shared" si="3"/>
        <v>2.8985507246376812E-2</v>
      </c>
      <c r="X67" s="322">
        <f t="shared" si="4"/>
        <v>12000</v>
      </c>
      <c r="Y67" s="140">
        <f t="shared" si="5"/>
        <v>2.8985507246376812E-2</v>
      </c>
      <c r="Z67" s="519">
        <v>310354.70999999996</v>
      </c>
      <c r="AA67" s="111">
        <f t="shared" si="6"/>
        <v>413806.27999999997</v>
      </c>
      <c r="AB67" s="111">
        <f t="shared" si="7"/>
        <v>193.72000000003027</v>
      </c>
    </row>
    <row r="68" spans="1:28" ht="25.5" customHeight="1">
      <c r="A68" s="115" t="s">
        <v>3018</v>
      </c>
      <c r="B68" s="124" t="s">
        <v>1914</v>
      </c>
      <c r="C68" s="101" t="s">
        <v>3191</v>
      </c>
      <c r="D68" s="101" t="s">
        <v>3185</v>
      </c>
      <c r="E68" s="554" t="s">
        <v>3019</v>
      </c>
      <c r="F68" s="534" t="s">
        <v>3423</v>
      </c>
      <c r="G68" s="555"/>
      <c r="H68" s="555"/>
      <c r="I68" s="556"/>
      <c r="J68" s="557"/>
      <c r="K68" s="558"/>
      <c r="L68" s="95"/>
      <c r="M68" s="104"/>
      <c r="N68" s="137">
        <v>0</v>
      </c>
      <c r="O68" s="138">
        <v>0</v>
      </c>
      <c r="P68" s="138">
        <v>0</v>
      </c>
      <c r="Q68" s="138">
        <v>0</v>
      </c>
      <c r="R68" s="138">
        <v>0</v>
      </c>
      <c r="S68" s="139">
        <v>0</v>
      </c>
      <c r="T68" s="322">
        <f t="shared" si="0"/>
        <v>0</v>
      </c>
      <c r="U68" s="140" t="str">
        <f t="shared" si="1"/>
        <v/>
      </c>
      <c r="V68" s="322">
        <f t="shared" si="2"/>
        <v>0</v>
      </c>
      <c r="W68" s="140" t="str">
        <f t="shared" si="3"/>
        <v/>
      </c>
      <c r="X68" s="322">
        <f t="shared" si="4"/>
        <v>0</v>
      </c>
      <c r="Y68" s="140" t="str">
        <f t="shared" si="5"/>
        <v/>
      </c>
      <c r="Z68" s="519">
        <v>0</v>
      </c>
      <c r="AA68" s="111">
        <f t="shared" si="6"/>
        <v>0</v>
      </c>
      <c r="AB68" s="111">
        <f t="shared" si="7"/>
        <v>0</v>
      </c>
    </row>
    <row r="69" spans="1:28" ht="25.5" customHeight="1">
      <c r="A69" s="114" t="s">
        <v>3760</v>
      </c>
      <c r="B69" s="125" t="s">
        <v>1914</v>
      </c>
      <c r="C69" s="97" t="s">
        <v>3191</v>
      </c>
      <c r="D69" s="97" t="s">
        <v>3183</v>
      </c>
      <c r="E69" s="559" t="s">
        <v>3019</v>
      </c>
      <c r="F69" s="540" t="s">
        <v>3423</v>
      </c>
      <c r="G69" s="555" t="s">
        <v>542</v>
      </c>
      <c r="H69" s="555" t="s">
        <v>3761</v>
      </c>
      <c r="I69" s="556" t="s">
        <v>4023</v>
      </c>
      <c r="J69" s="557" t="s">
        <v>2882</v>
      </c>
      <c r="K69" s="558" t="s">
        <v>2883</v>
      </c>
      <c r="L69" s="95"/>
      <c r="M69" s="104"/>
      <c r="N69" s="137">
        <v>0</v>
      </c>
      <c r="O69" s="138">
        <v>0</v>
      </c>
      <c r="P69" s="138">
        <v>0</v>
      </c>
      <c r="Q69" s="138">
        <v>0</v>
      </c>
      <c r="R69" s="138">
        <v>0</v>
      </c>
      <c r="S69" s="139">
        <v>0</v>
      </c>
      <c r="T69" s="322">
        <f t="shared" si="0"/>
        <v>0</v>
      </c>
      <c r="U69" s="140" t="str">
        <f t="shared" si="1"/>
        <v/>
      </c>
      <c r="V69" s="322">
        <f t="shared" si="2"/>
        <v>0</v>
      </c>
      <c r="W69" s="140" t="str">
        <f t="shared" si="3"/>
        <v/>
      </c>
      <c r="X69" s="322">
        <f t="shared" si="4"/>
        <v>0</v>
      </c>
      <c r="Y69" s="140" t="str">
        <f t="shared" si="5"/>
        <v/>
      </c>
      <c r="Z69" s="519">
        <v>0</v>
      </c>
      <c r="AA69" s="111">
        <f t="shared" si="6"/>
        <v>0</v>
      </c>
      <c r="AB69" s="111">
        <f t="shared" si="7"/>
        <v>0</v>
      </c>
    </row>
    <row r="70" spans="1:28" ht="25.5" customHeight="1">
      <c r="A70" s="113" t="s">
        <v>1940</v>
      </c>
      <c r="B70" s="135" t="s">
        <v>1941</v>
      </c>
      <c r="C70" s="136" t="s">
        <v>3184</v>
      </c>
      <c r="D70" s="136" t="s">
        <v>3185</v>
      </c>
      <c r="E70" s="529" t="s">
        <v>1943</v>
      </c>
      <c r="F70" s="529" t="s">
        <v>1942</v>
      </c>
      <c r="G70" s="530"/>
      <c r="H70" s="530"/>
      <c r="I70" s="531"/>
      <c r="J70" s="532"/>
      <c r="K70" s="533"/>
      <c r="L70" s="95"/>
      <c r="M70" s="147"/>
      <c r="N70" s="137">
        <v>0</v>
      </c>
      <c r="O70" s="138">
        <v>0</v>
      </c>
      <c r="P70" s="138">
        <v>0</v>
      </c>
      <c r="Q70" s="138">
        <v>0</v>
      </c>
      <c r="R70" s="138">
        <v>0</v>
      </c>
      <c r="S70" s="139">
        <v>0</v>
      </c>
      <c r="T70" s="322">
        <f t="shared" si="0"/>
        <v>0</v>
      </c>
      <c r="U70" s="140" t="str">
        <f t="shared" si="1"/>
        <v/>
      </c>
      <c r="V70" s="322">
        <f t="shared" si="2"/>
        <v>0</v>
      </c>
      <c r="W70" s="140" t="str">
        <f t="shared" si="3"/>
        <v/>
      </c>
      <c r="X70" s="322">
        <f t="shared" si="4"/>
        <v>0</v>
      </c>
      <c r="Y70" s="140" t="str">
        <f t="shared" si="5"/>
        <v/>
      </c>
      <c r="Z70" s="519">
        <v>0</v>
      </c>
      <c r="AA70" s="111">
        <f t="shared" si="6"/>
        <v>0</v>
      </c>
      <c r="AB70" s="111">
        <f t="shared" si="7"/>
        <v>0</v>
      </c>
    </row>
    <row r="71" spans="1:28" ht="18" customHeight="1">
      <c r="A71" s="115" t="s">
        <v>1944</v>
      </c>
      <c r="B71" s="124" t="s">
        <v>1941</v>
      </c>
      <c r="C71" s="101" t="s">
        <v>3186</v>
      </c>
      <c r="D71" s="101" t="s">
        <v>3185</v>
      </c>
      <c r="E71" s="554" t="s">
        <v>1946</v>
      </c>
      <c r="F71" s="534" t="s">
        <v>1945</v>
      </c>
      <c r="G71" s="555"/>
      <c r="H71" s="555"/>
      <c r="I71" s="556"/>
      <c r="J71" s="557"/>
      <c r="K71" s="558"/>
      <c r="L71" s="95"/>
      <c r="M71" s="104"/>
      <c r="N71" s="137">
        <v>0</v>
      </c>
      <c r="O71" s="138">
        <v>0</v>
      </c>
      <c r="P71" s="138">
        <v>0</v>
      </c>
      <c r="Q71" s="138">
        <v>0</v>
      </c>
      <c r="R71" s="138">
        <v>0</v>
      </c>
      <c r="S71" s="139">
        <v>0</v>
      </c>
      <c r="T71" s="322">
        <f t="shared" si="0"/>
        <v>0</v>
      </c>
      <c r="U71" s="140" t="str">
        <f t="shared" si="1"/>
        <v/>
      </c>
      <c r="V71" s="322">
        <f t="shared" si="2"/>
        <v>0</v>
      </c>
      <c r="W71" s="140" t="str">
        <f t="shared" si="3"/>
        <v/>
      </c>
      <c r="X71" s="322">
        <f t="shared" si="4"/>
        <v>0</v>
      </c>
      <c r="Y71" s="140" t="str">
        <f t="shared" si="5"/>
        <v/>
      </c>
      <c r="Z71" s="519">
        <v>0</v>
      </c>
      <c r="AA71" s="111">
        <f t="shared" si="6"/>
        <v>0</v>
      </c>
      <c r="AB71" s="111">
        <f t="shared" si="7"/>
        <v>0</v>
      </c>
    </row>
    <row r="72" spans="1:28" ht="18" customHeight="1">
      <c r="A72" s="114" t="s">
        <v>1947</v>
      </c>
      <c r="B72" s="125" t="s">
        <v>1941</v>
      </c>
      <c r="C72" s="97" t="s">
        <v>3186</v>
      </c>
      <c r="D72" s="97" t="s">
        <v>3183</v>
      </c>
      <c r="E72" s="559" t="s">
        <v>1946</v>
      </c>
      <c r="F72" s="540" t="s">
        <v>1945</v>
      </c>
      <c r="G72" s="555" t="s">
        <v>877</v>
      </c>
      <c r="H72" s="555" t="s">
        <v>1948</v>
      </c>
      <c r="I72" s="556" t="s">
        <v>1949</v>
      </c>
      <c r="J72" s="557" t="s">
        <v>2876</v>
      </c>
      <c r="K72" s="558" t="s">
        <v>2877</v>
      </c>
      <c r="L72" s="95"/>
      <c r="M72" s="104"/>
      <c r="N72" s="137">
        <v>7790279.2699999996</v>
      </c>
      <c r="O72" s="138">
        <v>8610000</v>
      </c>
      <c r="P72" s="138">
        <v>7861000</v>
      </c>
      <c r="Q72" s="138">
        <v>8168000</v>
      </c>
      <c r="R72" s="138">
        <v>8306000</v>
      </c>
      <c r="S72" s="139">
        <v>8446000</v>
      </c>
      <c r="T72" s="322">
        <f t="shared" si="0"/>
        <v>377720.73000000045</v>
      </c>
      <c r="U72" s="140">
        <f t="shared" si="1"/>
        <v>4.8486160368420329E-2</v>
      </c>
      <c r="V72" s="322">
        <f t="shared" si="2"/>
        <v>-442000</v>
      </c>
      <c r="W72" s="140">
        <f t="shared" si="3"/>
        <v>-5.1335656213704992E-2</v>
      </c>
      <c r="X72" s="322">
        <f t="shared" si="4"/>
        <v>307000</v>
      </c>
      <c r="Y72" s="140">
        <f t="shared" si="5"/>
        <v>3.9053555527286607E-2</v>
      </c>
      <c r="Z72" s="519">
        <v>5895911.1799999997</v>
      </c>
      <c r="AA72" s="111">
        <f t="shared" si="6"/>
        <v>7861214.9066666663</v>
      </c>
      <c r="AB72" s="111">
        <f t="shared" si="7"/>
        <v>-214.9066666662693</v>
      </c>
    </row>
    <row r="73" spans="1:28" ht="18" customHeight="1">
      <c r="A73" s="115" t="s">
        <v>1952</v>
      </c>
      <c r="B73" s="124" t="s">
        <v>1941</v>
      </c>
      <c r="C73" s="101" t="s">
        <v>2759</v>
      </c>
      <c r="D73" s="101" t="s">
        <v>3185</v>
      </c>
      <c r="E73" s="534" t="s">
        <v>1954</v>
      </c>
      <c r="F73" s="534" t="s">
        <v>1953</v>
      </c>
      <c r="G73" s="555"/>
      <c r="H73" s="555"/>
      <c r="I73" s="556"/>
      <c r="J73" s="557"/>
      <c r="K73" s="558"/>
      <c r="L73" s="95"/>
      <c r="M73" s="104"/>
      <c r="N73" s="137">
        <v>0</v>
      </c>
      <c r="O73" s="138">
        <v>0</v>
      </c>
      <c r="P73" s="138">
        <v>0</v>
      </c>
      <c r="Q73" s="138">
        <v>0</v>
      </c>
      <c r="R73" s="138">
        <v>0</v>
      </c>
      <c r="S73" s="139">
        <v>0</v>
      </c>
      <c r="T73" s="322">
        <f t="shared" si="0"/>
        <v>0</v>
      </c>
      <c r="U73" s="140" t="str">
        <f t="shared" si="1"/>
        <v/>
      </c>
      <c r="V73" s="322">
        <f t="shared" ref="V73:V136" si="13">IF(O73="","",Q73-O73)</f>
        <v>0</v>
      </c>
      <c r="W73" s="140" t="str">
        <f t="shared" si="3"/>
        <v/>
      </c>
      <c r="X73" s="322">
        <f t="shared" si="4"/>
        <v>0</v>
      </c>
      <c r="Y73" s="140" t="str">
        <f t="shared" si="5"/>
        <v/>
      </c>
      <c r="Z73" s="519">
        <v>0</v>
      </c>
      <c r="AA73" s="111">
        <f t="shared" ref="AA73:AA136" si="14">Z73/3*4</f>
        <v>0</v>
      </c>
      <c r="AB73" s="111">
        <f t="shared" ref="AB73:AB136" si="15">P73-AA73</f>
        <v>0</v>
      </c>
    </row>
    <row r="74" spans="1:28" ht="18" customHeight="1">
      <c r="A74" s="114" t="s">
        <v>1955</v>
      </c>
      <c r="B74" s="125" t="s">
        <v>1941</v>
      </c>
      <c r="C74" s="97" t="s">
        <v>2759</v>
      </c>
      <c r="D74" s="97" t="s">
        <v>3183</v>
      </c>
      <c r="E74" s="559" t="s">
        <v>1954</v>
      </c>
      <c r="F74" s="540" t="s">
        <v>1953</v>
      </c>
      <c r="G74" s="555" t="s">
        <v>879</v>
      </c>
      <c r="H74" s="555" t="s">
        <v>3424</v>
      </c>
      <c r="I74" s="556" t="s">
        <v>1956</v>
      </c>
      <c r="J74" s="557" t="s">
        <v>2876</v>
      </c>
      <c r="K74" s="558" t="s">
        <v>2877</v>
      </c>
      <c r="L74" s="95"/>
      <c r="M74" s="104"/>
      <c r="N74" s="137">
        <v>13156207.639999999</v>
      </c>
      <c r="O74" s="138">
        <v>13900000</v>
      </c>
      <c r="P74" s="138">
        <v>13396000</v>
      </c>
      <c r="Q74" s="138">
        <v>14097000</v>
      </c>
      <c r="R74" s="138">
        <v>14638000</v>
      </c>
      <c r="S74" s="139">
        <v>14950000</v>
      </c>
      <c r="T74" s="322">
        <f t="shared" ref="T74:T140" si="16">IF(N74="","",Q74-N74)</f>
        <v>940792.36000000127</v>
      </c>
      <c r="U74" s="140">
        <f t="shared" ref="U74:U140" si="17">IF(N74=0,"",T74/N74)</f>
        <v>7.1509388247995256E-2</v>
      </c>
      <c r="V74" s="322">
        <f t="shared" si="13"/>
        <v>197000</v>
      </c>
      <c r="W74" s="140">
        <f t="shared" ref="W74:W140" si="18">IF(O74=0,"",V74/O74)</f>
        <v>1.4172661870503598E-2</v>
      </c>
      <c r="X74" s="322">
        <f t="shared" ref="X74:X140" si="19">IF(P74="","",Q74-P74)</f>
        <v>701000</v>
      </c>
      <c r="Y74" s="140">
        <f t="shared" ref="Y74:Y140" si="20">IF(P74=0,"",X74/P74)</f>
        <v>5.2329053448790686E-2</v>
      </c>
      <c r="Z74" s="519">
        <v>10047250.450000001</v>
      </c>
      <c r="AA74" s="111">
        <f t="shared" si="14"/>
        <v>13396333.933333335</v>
      </c>
      <c r="AB74" s="111">
        <f t="shared" si="15"/>
        <v>-333.93333333544433</v>
      </c>
    </row>
    <row r="75" spans="1:28" ht="18" customHeight="1">
      <c r="A75" s="115" t="s">
        <v>1957</v>
      </c>
      <c r="B75" s="124" t="s">
        <v>1941</v>
      </c>
      <c r="C75" s="101" t="s">
        <v>3187</v>
      </c>
      <c r="D75" s="101" t="s">
        <v>3185</v>
      </c>
      <c r="E75" s="554" t="s">
        <v>1958</v>
      </c>
      <c r="F75" s="534" t="s">
        <v>1958</v>
      </c>
      <c r="G75" s="555"/>
      <c r="H75" s="555"/>
      <c r="I75" s="556"/>
      <c r="J75" s="557"/>
      <c r="K75" s="558"/>
      <c r="L75" s="95"/>
      <c r="M75" s="104"/>
      <c r="N75" s="137">
        <v>0</v>
      </c>
      <c r="O75" s="138">
        <v>0</v>
      </c>
      <c r="P75" s="138">
        <v>0</v>
      </c>
      <c r="Q75" s="138">
        <v>0</v>
      </c>
      <c r="R75" s="138">
        <v>0</v>
      </c>
      <c r="S75" s="139">
        <v>0</v>
      </c>
      <c r="T75" s="322">
        <f t="shared" si="16"/>
        <v>0</v>
      </c>
      <c r="U75" s="140" t="str">
        <f t="shared" si="17"/>
        <v/>
      </c>
      <c r="V75" s="322">
        <f t="shared" si="13"/>
        <v>0</v>
      </c>
      <c r="W75" s="140" t="str">
        <f t="shared" si="18"/>
        <v/>
      </c>
      <c r="X75" s="322">
        <f t="shared" si="19"/>
        <v>0</v>
      </c>
      <c r="Y75" s="140" t="str">
        <f t="shared" si="20"/>
        <v/>
      </c>
      <c r="Z75" s="519">
        <v>0</v>
      </c>
      <c r="AA75" s="111">
        <f t="shared" si="14"/>
        <v>0</v>
      </c>
      <c r="AB75" s="111">
        <f t="shared" si="15"/>
        <v>0</v>
      </c>
    </row>
    <row r="76" spans="1:28" ht="25.5" customHeight="1">
      <c r="A76" s="114" t="s">
        <v>1959</v>
      </c>
      <c r="B76" s="125" t="s">
        <v>1941</v>
      </c>
      <c r="C76" s="97" t="s">
        <v>3187</v>
      </c>
      <c r="D76" s="97" t="s">
        <v>3183</v>
      </c>
      <c r="E76" s="546" t="s">
        <v>4931</v>
      </c>
      <c r="F76" s="546" t="s">
        <v>4932</v>
      </c>
      <c r="G76" s="512" t="s">
        <v>4808</v>
      </c>
      <c r="H76" s="555" t="s">
        <v>4933</v>
      </c>
      <c r="I76" s="556" t="s">
        <v>4934</v>
      </c>
      <c r="J76" s="557" t="s">
        <v>2876</v>
      </c>
      <c r="K76" s="558" t="s">
        <v>2877</v>
      </c>
      <c r="L76" s="95"/>
      <c r="M76" s="104"/>
      <c r="N76" s="137">
        <v>359679.62</v>
      </c>
      <c r="O76" s="138">
        <v>461550</v>
      </c>
      <c r="P76" s="138">
        <v>474000</v>
      </c>
      <c r="Q76" s="138">
        <v>480000</v>
      </c>
      <c r="R76" s="138">
        <v>486000</v>
      </c>
      <c r="S76" s="139">
        <v>492000</v>
      </c>
      <c r="T76" s="322">
        <f t="shared" si="16"/>
        <v>120320.38</v>
      </c>
      <c r="U76" s="140">
        <f t="shared" si="17"/>
        <v>0.33452098286803128</v>
      </c>
      <c r="V76" s="322">
        <f t="shared" si="13"/>
        <v>18450</v>
      </c>
      <c r="W76" s="140">
        <f t="shared" si="18"/>
        <v>3.997400064998375E-2</v>
      </c>
      <c r="X76" s="322">
        <f t="shared" si="19"/>
        <v>6000</v>
      </c>
      <c r="Y76" s="140">
        <f t="shared" si="20"/>
        <v>1.2658227848101266E-2</v>
      </c>
      <c r="Z76" s="519">
        <v>355152.39</v>
      </c>
      <c r="AA76" s="111">
        <f t="shared" si="14"/>
        <v>473536.52</v>
      </c>
      <c r="AB76" s="111">
        <f t="shared" si="15"/>
        <v>463.47999999998137</v>
      </c>
    </row>
    <row r="77" spans="1:28" ht="18" customHeight="1">
      <c r="A77" s="115" t="s">
        <v>1960</v>
      </c>
      <c r="B77" s="124" t="s">
        <v>1941</v>
      </c>
      <c r="C77" s="101" t="s">
        <v>2866</v>
      </c>
      <c r="D77" s="101" t="s">
        <v>3185</v>
      </c>
      <c r="E77" s="534" t="s">
        <v>1962</v>
      </c>
      <c r="F77" s="534" t="s">
        <v>1961</v>
      </c>
      <c r="G77" s="555"/>
      <c r="H77" s="555"/>
      <c r="I77" s="556"/>
      <c r="J77" s="557"/>
      <c r="K77" s="558"/>
      <c r="L77" s="95"/>
      <c r="M77" s="104"/>
      <c r="N77" s="137">
        <v>0</v>
      </c>
      <c r="O77" s="138">
        <v>0</v>
      </c>
      <c r="P77" s="138">
        <v>0</v>
      </c>
      <c r="Q77" s="138">
        <v>0</v>
      </c>
      <c r="R77" s="138">
        <v>0</v>
      </c>
      <c r="S77" s="139">
        <v>0</v>
      </c>
      <c r="T77" s="322">
        <f t="shared" si="16"/>
        <v>0</v>
      </c>
      <c r="U77" s="140" t="str">
        <f t="shared" si="17"/>
        <v/>
      </c>
      <c r="V77" s="322">
        <f t="shared" si="13"/>
        <v>0</v>
      </c>
      <c r="W77" s="140" t="str">
        <f t="shared" si="18"/>
        <v/>
      </c>
      <c r="X77" s="322">
        <f t="shared" si="19"/>
        <v>0</v>
      </c>
      <c r="Y77" s="140" t="str">
        <f t="shared" si="20"/>
        <v/>
      </c>
      <c r="Z77" s="519">
        <v>0</v>
      </c>
      <c r="AA77" s="111">
        <f t="shared" si="14"/>
        <v>0</v>
      </c>
      <c r="AB77" s="111">
        <f t="shared" si="15"/>
        <v>0</v>
      </c>
    </row>
    <row r="78" spans="1:28" ht="18" customHeight="1">
      <c r="A78" s="114" t="s">
        <v>1963</v>
      </c>
      <c r="B78" s="125" t="s">
        <v>1941</v>
      </c>
      <c r="C78" s="97" t="s">
        <v>2866</v>
      </c>
      <c r="D78" s="97" t="s">
        <v>3183</v>
      </c>
      <c r="E78" s="559" t="s">
        <v>1962</v>
      </c>
      <c r="F78" s="540" t="s">
        <v>1961</v>
      </c>
      <c r="G78" s="555" t="s">
        <v>883</v>
      </c>
      <c r="H78" s="555" t="s">
        <v>3425</v>
      </c>
      <c r="I78" s="556" t="s">
        <v>1964</v>
      </c>
      <c r="J78" s="557" t="s">
        <v>2876</v>
      </c>
      <c r="K78" s="558" t="s">
        <v>2877</v>
      </c>
      <c r="L78" s="95"/>
      <c r="M78" s="104"/>
      <c r="N78" s="137">
        <v>2430716.96</v>
      </c>
      <c r="O78" s="138">
        <v>2902000</v>
      </c>
      <c r="P78" s="138">
        <v>2782000</v>
      </c>
      <c r="Q78" s="138">
        <v>2865000</v>
      </c>
      <c r="R78" s="138">
        <v>2951000</v>
      </c>
      <c r="S78" s="139">
        <v>3040000</v>
      </c>
      <c r="T78" s="322">
        <f t="shared" si="16"/>
        <v>434283.04000000004</v>
      </c>
      <c r="U78" s="140">
        <f t="shared" si="17"/>
        <v>0.17866458627087542</v>
      </c>
      <c r="V78" s="322">
        <f t="shared" si="13"/>
        <v>-37000</v>
      </c>
      <c r="W78" s="140">
        <f t="shared" si="18"/>
        <v>-1.2749827705031013E-2</v>
      </c>
      <c r="X78" s="322">
        <f t="shared" si="19"/>
        <v>83000</v>
      </c>
      <c r="Y78" s="140">
        <f t="shared" si="20"/>
        <v>2.9834651329978434E-2</v>
      </c>
      <c r="Z78" s="519">
        <v>2086272.5799999998</v>
      </c>
      <c r="AA78" s="111">
        <f t="shared" si="14"/>
        <v>2781696.773333333</v>
      </c>
      <c r="AB78" s="111">
        <f t="shared" si="15"/>
        <v>303.22666666703299</v>
      </c>
    </row>
    <row r="79" spans="1:28" ht="20.25" customHeight="1">
      <c r="A79" s="115" t="s">
        <v>1965</v>
      </c>
      <c r="B79" s="124" t="s">
        <v>1941</v>
      </c>
      <c r="C79" s="101" t="s">
        <v>3189</v>
      </c>
      <c r="D79" s="101" t="s">
        <v>3185</v>
      </c>
      <c r="E79" s="554" t="s">
        <v>1967</v>
      </c>
      <c r="F79" s="534" t="s">
        <v>1966</v>
      </c>
      <c r="G79" s="555"/>
      <c r="H79" s="555"/>
      <c r="I79" s="556"/>
      <c r="J79" s="557"/>
      <c r="K79" s="558"/>
      <c r="L79" s="95"/>
      <c r="M79" s="104"/>
      <c r="N79" s="137">
        <v>0</v>
      </c>
      <c r="O79" s="138">
        <v>0</v>
      </c>
      <c r="P79" s="138">
        <v>0</v>
      </c>
      <c r="Q79" s="138">
        <v>0</v>
      </c>
      <c r="R79" s="138">
        <v>0</v>
      </c>
      <c r="S79" s="139">
        <v>0</v>
      </c>
      <c r="T79" s="322">
        <f t="shared" si="16"/>
        <v>0</v>
      </c>
      <c r="U79" s="140" t="str">
        <f t="shared" si="17"/>
        <v/>
      </c>
      <c r="V79" s="322">
        <f t="shared" si="13"/>
        <v>0</v>
      </c>
      <c r="W79" s="140" t="str">
        <f t="shared" si="18"/>
        <v/>
      </c>
      <c r="X79" s="322">
        <f t="shared" si="19"/>
        <v>0</v>
      </c>
      <c r="Y79" s="140" t="str">
        <f t="shared" si="20"/>
        <v/>
      </c>
      <c r="Z79" s="519">
        <v>0</v>
      </c>
      <c r="AA79" s="111">
        <f t="shared" si="14"/>
        <v>0</v>
      </c>
      <c r="AB79" s="111">
        <f t="shared" si="15"/>
        <v>0</v>
      </c>
    </row>
    <row r="80" spans="1:28" ht="18" customHeight="1">
      <c r="A80" s="114" t="s">
        <v>1968</v>
      </c>
      <c r="B80" s="125" t="s">
        <v>1941</v>
      </c>
      <c r="C80" s="97" t="s">
        <v>3189</v>
      </c>
      <c r="D80" s="97" t="s">
        <v>3183</v>
      </c>
      <c r="E80" s="540" t="s">
        <v>1967</v>
      </c>
      <c r="F80" s="540" t="s">
        <v>1966</v>
      </c>
      <c r="G80" s="555" t="s">
        <v>885</v>
      </c>
      <c r="H80" s="555" t="s">
        <v>1969</v>
      </c>
      <c r="I80" s="556" t="s">
        <v>3426</v>
      </c>
      <c r="J80" s="557" t="s">
        <v>2876</v>
      </c>
      <c r="K80" s="558" t="s">
        <v>2877</v>
      </c>
      <c r="L80" s="95"/>
      <c r="M80" s="104"/>
      <c r="N80" s="137">
        <v>386498.84</v>
      </c>
      <c r="O80" s="138">
        <v>665000</v>
      </c>
      <c r="P80" s="138">
        <v>665000</v>
      </c>
      <c r="Q80" s="138">
        <v>775000</v>
      </c>
      <c r="R80" s="138">
        <v>785000</v>
      </c>
      <c r="S80" s="139">
        <v>794000</v>
      </c>
      <c r="T80" s="322">
        <f t="shared" si="16"/>
        <v>388501.16</v>
      </c>
      <c r="U80" s="140">
        <f t="shared" si="17"/>
        <v>1.0051806623792194</v>
      </c>
      <c r="V80" s="322">
        <f t="shared" si="13"/>
        <v>110000</v>
      </c>
      <c r="W80" s="140">
        <f t="shared" si="18"/>
        <v>0.16541353383458646</v>
      </c>
      <c r="X80" s="322">
        <f t="shared" si="19"/>
        <v>110000</v>
      </c>
      <c r="Y80" s="140">
        <f t="shared" si="20"/>
        <v>0.16541353383458646</v>
      </c>
      <c r="Z80" s="519">
        <v>498997.55</v>
      </c>
      <c r="AA80" s="111">
        <f t="shared" si="14"/>
        <v>665330.06666666665</v>
      </c>
      <c r="AB80" s="111">
        <f t="shared" si="15"/>
        <v>-330.06666666665114</v>
      </c>
    </row>
    <row r="81" spans="1:28" ht="18" customHeight="1">
      <c r="A81" s="115" t="s">
        <v>1970</v>
      </c>
      <c r="B81" s="124" t="s">
        <v>1941</v>
      </c>
      <c r="C81" s="101" t="s">
        <v>2867</v>
      </c>
      <c r="D81" s="101" t="s">
        <v>3185</v>
      </c>
      <c r="E81" s="534" t="s">
        <v>1971</v>
      </c>
      <c r="F81" s="534" t="s">
        <v>5256</v>
      </c>
      <c r="G81" s="555"/>
      <c r="H81" s="555"/>
      <c r="I81" s="556"/>
      <c r="J81" s="557"/>
      <c r="K81" s="558"/>
      <c r="L81" s="95"/>
      <c r="M81" s="104"/>
      <c r="N81" s="137">
        <v>0</v>
      </c>
      <c r="O81" s="138">
        <v>0</v>
      </c>
      <c r="P81" s="138">
        <v>0</v>
      </c>
      <c r="Q81" s="138">
        <v>0</v>
      </c>
      <c r="R81" s="138">
        <v>0</v>
      </c>
      <c r="S81" s="139">
        <v>0</v>
      </c>
      <c r="T81" s="322">
        <f t="shared" si="16"/>
        <v>0</v>
      </c>
      <c r="U81" s="140" t="str">
        <f t="shared" si="17"/>
        <v/>
      </c>
      <c r="V81" s="322">
        <f t="shared" si="13"/>
        <v>0</v>
      </c>
      <c r="W81" s="140" t="str">
        <f t="shared" si="18"/>
        <v/>
      </c>
      <c r="X81" s="322">
        <f t="shared" si="19"/>
        <v>0</v>
      </c>
      <c r="Y81" s="140" t="str">
        <f t="shared" si="20"/>
        <v/>
      </c>
      <c r="Z81" s="519">
        <v>0</v>
      </c>
      <c r="AA81" s="111">
        <f t="shared" si="14"/>
        <v>0</v>
      </c>
      <c r="AB81" s="111">
        <f t="shared" si="15"/>
        <v>0</v>
      </c>
    </row>
    <row r="82" spans="1:28" ht="25.5" customHeight="1">
      <c r="A82" s="114" t="s">
        <v>1972</v>
      </c>
      <c r="B82" s="125" t="s">
        <v>1941</v>
      </c>
      <c r="C82" s="97" t="s">
        <v>2867</v>
      </c>
      <c r="D82" s="97" t="s">
        <v>3183</v>
      </c>
      <c r="E82" s="559" t="s">
        <v>5257</v>
      </c>
      <c r="F82" s="540" t="s">
        <v>5258</v>
      </c>
      <c r="G82" s="555" t="s">
        <v>648</v>
      </c>
      <c r="H82" s="555" t="s">
        <v>3427</v>
      </c>
      <c r="I82" s="556" t="s">
        <v>1247</v>
      </c>
      <c r="J82" s="557" t="s">
        <v>3596</v>
      </c>
      <c r="K82" s="558" t="s">
        <v>3598</v>
      </c>
      <c r="L82" s="95"/>
      <c r="M82" s="104"/>
      <c r="N82" s="137">
        <v>0</v>
      </c>
      <c r="O82" s="138">
        <v>0</v>
      </c>
      <c r="P82" s="138">
        <v>0</v>
      </c>
      <c r="Q82" s="138">
        <v>0</v>
      </c>
      <c r="R82" s="138">
        <v>0</v>
      </c>
      <c r="S82" s="139">
        <v>0</v>
      </c>
      <c r="T82" s="322">
        <f t="shared" si="16"/>
        <v>0</v>
      </c>
      <c r="U82" s="140" t="str">
        <f t="shared" si="17"/>
        <v/>
      </c>
      <c r="V82" s="322">
        <f t="shared" si="13"/>
        <v>0</v>
      </c>
      <c r="W82" s="140" t="str">
        <f t="shared" si="18"/>
        <v/>
      </c>
      <c r="X82" s="322">
        <f t="shared" si="19"/>
        <v>0</v>
      </c>
      <c r="Y82" s="140" t="str">
        <f t="shared" si="20"/>
        <v/>
      </c>
      <c r="Z82" s="519">
        <v>0</v>
      </c>
      <c r="AA82" s="111">
        <f t="shared" si="14"/>
        <v>0</v>
      </c>
      <c r="AB82" s="111">
        <f t="shared" si="15"/>
        <v>0</v>
      </c>
    </row>
    <row r="83" spans="1:28" ht="25.5" customHeight="1">
      <c r="A83" s="114" t="s">
        <v>3428</v>
      </c>
      <c r="B83" s="126" t="s">
        <v>1941</v>
      </c>
      <c r="C83" s="98" t="s">
        <v>2867</v>
      </c>
      <c r="D83" s="98" t="s">
        <v>1378</v>
      </c>
      <c r="E83" s="540" t="s">
        <v>3429</v>
      </c>
      <c r="F83" s="539" t="s">
        <v>5259</v>
      </c>
      <c r="G83" s="511" t="s">
        <v>652</v>
      </c>
      <c r="H83" s="511" t="s">
        <v>3430</v>
      </c>
      <c r="I83" s="544" t="s">
        <v>1251</v>
      </c>
      <c r="J83" s="542" t="s">
        <v>3596</v>
      </c>
      <c r="K83" s="543" t="s">
        <v>3598</v>
      </c>
      <c r="L83" s="95"/>
      <c r="M83" s="104"/>
      <c r="N83" s="137">
        <v>10110605.859999999</v>
      </c>
      <c r="O83" s="138">
        <v>10612000</v>
      </c>
      <c r="P83" s="138">
        <v>10430000</v>
      </c>
      <c r="Q83" s="138">
        <v>10639000</v>
      </c>
      <c r="R83" s="138">
        <v>10852000</v>
      </c>
      <c r="S83" s="139">
        <v>11069000</v>
      </c>
      <c r="T83" s="322">
        <f t="shared" si="16"/>
        <v>528394.1400000006</v>
      </c>
      <c r="U83" s="140">
        <f t="shared" si="17"/>
        <v>5.226137259394667E-2</v>
      </c>
      <c r="V83" s="322">
        <f t="shared" si="13"/>
        <v>27000</v>
      </c>
      <c r="W83" s="140">
        <f t="shared" si="18"/>
        <v>2.544289483603468E-3</v>
      </c>
      <c r="X83" s="322">
        <f t="shared" si="19"/>
        <v>209000</v>
      </c>
      <c r="Y83" s="140">
        <f t="shared" si="20"/>
        <v>2.0038350910834134E-2</v>
      </c>
      <c r="Z83" s="519">
        <v>7822920.0499999998</v>
      </c>
      <c r="AA83" s="111">
        <f t="shared" si="14"/>
        <v>10430560.066666666</v>
      </c>
      <c r="AB83" s="111">
        <f t="shared" si="15"/>
        <v>-560.06666666641831</v>
      </c>
    </row>
    <row r="84" spans="1:28" ht="25.5" customHeight="1">
      <c r="A84" s="114" t="s">
        <v>1248</v>
      </c>
      <c r="B84" s="125" t="s">
        <v>1941</v>
      </c>
      <c r="C84" s="97" t="s">
        <v>2867</v>
      </c>
      <c r="D84" s="97" t="s">
        <v>3193</v>
      </c>
      <c r="E84" s="559" t="s">
        <v>5412</v>
      </c>
      <c r="F84" s="540" t="s">
        <v>5260</v>
      </c>
      <c r="G84" s="511" t="s">
        <v>648</v>
      </c>
      <c r="H84" s="511" t="s">
        <v>3427</v>
      </c>
      <c r="I84" s="544" t="s">
        <v>1247</v>
      </c>
      <c r="J84" s="542" t="s">
        <v>3596</v>
      </c>
      <c r="K84" s="543" t="s">
        <v>3598</v>
      </c>
      <c r="L84" s="95"/>
      <c r="M84" s="104"/>
      <c r="N84" s="137">
        <v>0</v>
      </c>
      <c r="O84" s="138">
        <v>0</v>
      </c>
      <c r="P84" s="138">
        <v>0</v>
      </c>
      <c r="Q84" s="138">
        <v>0</v>
      </c>
      <c r="R84" s="138">
        <v>0</v>
      </c>
      <c r="S84" s="139">
        <v>0</v>
      </c>
      <c r="T84" s="322">
        <f t="shared" si="16"/>
        <v>0</v>
      </c>
      <c r="U84" s="140" t="str">
        <f t="shared" si="17"/>
        <v/>
      </c>
      <c r="V84" s="322">
        <f t="shared" si="13"/>
        <v>0</v>
      </c>
      <c r="W84" s="140" t="str">
        <f t="shared" si="18"/>
        <v/>
      </c>
      <c r="X84" s="322">
        <f t="shared" si="19"/>
        <v>0</v>
      </c>
      <c r="Y84" s="140" t="str">
        <f t="shared" si="20"/>
        <v/>
      </c>
      <c r="Z84" s="519">
        <v>0</v>
      </c>
      <c r="AA84" s="111">
        <f t="shared" si="14"/>
        <v>0</v>
      </c>
      <c r="AB84" s="111">
        <f t="shared" si="15"/>
        <v>0</v>
      </c>
    </row>
    <row r="85" spans="1:28" ht="25.5" customHeight="1">
      <c r="A85" s="114" t="s">
        <v>3431</v>
      </c>
      <c r="B85" s="125" t="s">
        <v>1941</v>
      </c>
      <c r="C85" s="97" t="s">
        <v>2867</v>
      </c>
      <c r="D85" s="97" t="s">
        <v>1401</v>
      </c>
      <c r="E85" s="559" t="s">
        <v>3432</v>
      </c>
      <c r="F85" s="540" t="s">
        <v>5261</v>
      </c>
      <c r="G85" s="511" t="s">
        <v>182</v>
      </c>
      <c r="H85" s="511" t="s">
        <v>3433</v>
      </c>
      <c r="I85" s="556" t="s">
        <v>3434</v>
      </c>
      <c r="J85" s="557" t="s">
        <v>2869</v>
      </c>
      <c r="K85" s="558" t="s">
        <v>2871</v>
      </c>
      <c r="L85" s="95"/>
      <c r="M85" s="104"/>
      <c r="N85" s="137">
        <v>0</v>
      </c>
      <c r="O85" s="138">
        <v>0</v>
      </c>
      <c r="P85" s="138">
        <v>0</v>
      </c>
      <c r="Q85" s="138">
        <v>0</v>
      </c>
      <c r="R85" s="138">
        <v>0</v>
      </c>
      <c r="S85" s="139">
        <v>0</v>
      </c>
      <c r="T85" s="322">
        <f t="shared" si="16"/>
        <v>0</v>
      </c>
      <c r="U85" s="140" t="str">
        <f t="shared" si="17"/>
        <v/>
      </c>
      <c r="V85" s="322">
        <f t="shared" si="13"/>
        <v>0</v>
      </c>
      <c r="W85" s="140" t="str">
        <f t="shared" si="18"/>
        <v/>
      </c>
      <c r="X85" s="322">
        <f t="shared" si="19"/>
        <v>0</v>
      </c>
      <c r="Y85" s="140" t="str">
        <f t="shared" si="20"/>
        <v/>
      </c>
      <c r="Z85" s="519">
        <v>0</v>
      </c>
      <c r="AA85" s="111">
        <f t="shared" si="14"/>
        <v>0</v>
      </c>
      <c r="AB85" s="111">
        <f t="shared" si="15"/>
        <v>0</v>
      </c>
    </row>
    <row r="86" spans="1:28" ht="36.75" customHeight="1">
      <c r="A86" s="114" t="s">
        <v>3435</v>
      </c>
      <c r="B86" s="125" t="s">
        <v>1941</v>
      </c>
      <c r="C86" s="97" t="s">
        <v>2867</v>
      </c>
      <c r="D86" s="97" t="s">
        <v>1402</v>
      </c>
      <c r="E86" s="559" t="s">
        <v>5262</v>
      </c>
      <c r="F86" s="540" t="s">
        <v>5263</v>
      </c>
      <c r="G86" s="555" t="s">
        <v>650</v>
      </c>
      <c r="H86" s="555" t="s">
        <v>3436</v>
      </c>
      <c r="I86" s="556" t="s">
        <v>3437</v>
      </c>
      <c r="J86" s="557" t="s">
        <v>3596</v>
      </c>
      <c r="K86" s="558" t="s">
        <v>3598</v>
      </c>
      <c r="L86" s="95"/>
      <c r="M86" s="104"/>
      <c r="N86" s="361">
        <v>496000</v>
      </c>
      <c r="O86" s="318">
        <v>496000</v>
      </c>
      <c r="P86" s="318">
        <v>450000</v>
      </c>
      <c r="Q86" s="318">
        <v>733000</v>
      </c>
      <c r="R86" s="318">
        <v>733000</v>
      </c>
      <c r="S86" s="319">
        <v>733000</v>
      </c>
      <c r="T86" s="322">
        <f t="shared" si="16"/>
        <v>237000</v>
      </c>
      <c r="U86" s="140">
        <f t="shared" si="17"/>
        <v>0.47782258064516131</v>
      </c>
      <c r="V86" s="322">
        <f t="shared" si="13"/>
        <v>237000</v>
      </c>
      <c r="W86" s="140">
        <f t="shared" si="18"/>
        <v>0.47782258064516131</v>
      </c>
      <c r="X86" s="322">
        <f t="shared" si="19"/>
        <v>283000</v>
      </c>
      <c r="Y86" s="140">
        <f t="shared" si="20"/>
        <v>0.62888888888888894</v>
      </c>
      <c r="Z86" s="519">
        <v>372000</v>
      </c>
      <c r="AA86" s="111">
        <f t="shared" si="14"/>
        <v>496000</v>
      </c>
      <c r="AB86" s="111">
        <f t="shared" si="15"/>
        <v>-46000</v>
      </c>
    </row>
    <row r="87" spans="1:28" ht="17.25" customHeight="1">
      <c r="A87" s="114" t="s">
        <v>1249</v>
      </c>
      <c r="B87" s="125" t="s">
        <v>1941</v>
      </c>
      <c r="C87" s="97" t="s">
        <v>2867</v>
      </c>
      <c r="D87" s="97" t="s">
        <v>2631</v>
      </c>
      <c r="E87" s="559" t="s">
        <v>1250</v>
      </c>
      <c r="F87" s="540" t="s">
        <v>5264</v>
      </c>
      <c r="G87" s="555" t="s">
        <v>652</v>
      </c>
      <c r="H87" s="555" t="s">
        <v>3430</v>
      </c>
      <c r="I87" s="556" t="s">
        <v>1251</v>
      </c>
      <c r="J87" s="557" t="s">
        <v>3596</v>
      </c>
      <c r="K87" s="558" t="s">
        <v>3598</v>
      </c>
      <c r="L87" s="95"/>
      <c r="M87" s="104"/>
      <c r="N87" s="137">
        <v>20801878.460000001</v>
      </c>
      <c r="O87" s="138">
        <v>21507000</v>
      </c>
      <c r="P87" s="138">
        <v>21295000</v>
      </c>
      <c r="Q87" s="138">
        <v>21721000</v>
      </c>
      <c r="R87" s="138">
        <v>22155000</v>
      </c>
      <c r="S87" s="139">
        <v>22598000</v>
      </c>
      <c r="T87" s="322">
        <f t="shared" si="16"/>
        <v>919121.53999999911</v>
      </c>
      <c r="U87" s="140">
        <f t="shared" si="17"/>
        <v>4.4184545245150857E-2</v>
      </c>
      <c r="V87" s="322">
        <f t="shared" si="13"/>
        <v>214000</v>
      </c>
      <c r="W87" s="140">
        <f t="shared" si="18"/>
        <v>9.9502487562189053E-3</v>
      </c>
      <c r="X87" s="322">
        <f t="shared" si="19"/>
        <v>426000</v>
      </c>
      <c r="Y87" s="140">
        <f t="shared" si="20"/>
        <v>2.0004695938013618E-2</v>
      </c>
      <c r="Z87" s="519">
        <v>16212543.459999999</v>
      </c>
      <c r="AA87" s="111">
        <f t="shared" si="14"/>
        <v>21616724.613333333</v>
      </c>
      <c r="AB87" s="521">
        <f t="shared" si="15"/>
        <v>-321724.61333333328</v>
      </c>
    </row>
    <row r="88" spans="1:28" ht="17.25" customHeight="1">
      <c r="A88" s="115" t="s">
        <v>1252</v>
      </c>
      <c r="B88" s="124" t="s">
        <v>1941</v>
      </c>
      <c r="C88" s="101" t="s">
        <v>1253</v>
      </c>
      <c r="D88" s="101" t="s">
        <v>3185</v>
      </c>
      <c r="E88" s="534" t="s">
        <v>1254</v>
      </c>
      <c r="F88" s="534" t="s">
        <v>5265</v>
      </c>
      <c r="G88" s="555"/>
      <c r="H88" s="555"/>
      <c r="I88" s="556"/>
      <c r="J88" s="557"/>
      <c r="K88" s="558"/>
      <c r="L88" s="95"/>
      <c r="M88" s="104"/>
      <c r="N88" s="137">
        <v>0</v>
      </c>
      <c r="O88" s="138">
        <v>0</v>
      </c>
      <c r="P88" s="138">
        <v>0</v>
      </c>
      <c r="Q88" s="138">
        <v>0</v>
      </c>
      <c r="R88" s="138">
        <v>0</v>
      </c>
      <c r="S88" s="139">
        <v>0</v>
      </c>
      <c r="T88" s="322">
        <f t="shared" si="16"/>
        <v>0</v>
      </c>
      <c r="U88" s="140" t="str">
        <f t="shared" si="17"/>
        <v/>
      </c>
      <c r="V88" s="322">
        <f t="shared" si="13"/>
        <v>0</v>
      </c>
      <c r="W88" s="140" t="str">
        <f t="shared" si="18"/>
        <v/>
      </c>
      <c r="X88" s="322">
        <f t="shared" si="19"/>
        <v>0</v>
      </c>
      <c r="Y88" s="140" t="str">
        <f t="shared" si="20"/>
        <v/>
      </c>
      <c r="Z88" s="519">
        <v>0</v>
      </c>
      <c r="AA88" s="111">
        <f t="shared" si="14"/>
        <v>0</v>
      </c>
      <c r="AB88" s="111">
        <f t="shared" si="15"/>
        <v>0</v>
      </c>
    </row>
    <row r="89" spans="1:28" ht="17.25" customHeight="1">
      <c r="A89" s="114" t="s">
        <v>1255</v>
      </c>
      <c r="B89" s="125" t="s">
        <v>1941</v>
      </c>
      <c r="C89" s="97" t="s">
        <v>1253</v>
      </c>
      <c r="D89" s="97" t="s">
        <v>3183</v>
      </c>
      <c r="E89" s="559" t="s">
        <v>1254</v>
      </c>
      <c r="F89" s="540" t="s">
        <v>5265</v>
      </c>
      <c r="G89" s="555" t="s">
        <v>887</v>
      </c>
      <c r="H89" s="555" t="s">
        <v>3438</v>
      </c>
      <c r="I89" s="556" t="s">
        <v>1256</v>
      </c>
      <c r="J89" s="557" t="s">
        <v>2876</v>
      </c>
      <c r="K89" s="558" t="s">
        <v>2877</v>
      </c>
      <c r="L89" s="95"/>
      <c r="M89" s="104"/>
      <c r="N89" s="137">
        <v>233715.5</v>
      </c>
      <c r="O89" s="138">
        <v>260000</v>
      </c>
      <c r="P89" s="138">
        <v>234000</v>
      </c>
      <c r="Q89" s="138">
        <v>239000</v>
      </c>
      <c r="R89" s="138">
        <v>244000</v>
      </c>
      <c r="S89" s="139">
        <v>249000</v>
      </c>
      <c r="T89" s="322">
        <f t="shared" si="16"/>
        <v>5284.5</v>
      </c>
      <c r="U89" s="140">
        <f t="shared" si="17"/>
        <v>2.2610823843519149E-2</v>
      </c>
      <c r="V89" s="322">
        <f t="shared" si="13"/>
        <v>-21000</v>
      </c>
      <c r="W89" s="140">
        <f t="shared" si="18"/>
        <v>-8.0769230769230774E-2</v>
      </c>
      <c r="X89" s="322">
        <f t="shared" si="19"/>
        <v>5000</v>
      </c>
      <c r="Y89" s="140">
        <f t="shared" si="20"/>
        <v>2.1367521367521368E-2</v>
      </c>
      <c r="Z89" s="519">
        <v>175120.79</v>
      </c>
      <c r="AA89" s="111">
        <f t="shared" si="14"/>
        <v>233494.38666666669</v>
      </c>
      <c r="AB89" s="111">
        <f t="shared" si="15"/>
        <v>505.61333333331277</v>
      </c>
    </row>
    <row r="90" spans="1:28" ht="17.25" customHeight="1">
      <c r="A90" s="115" t="s">
        <v>1257</v>
      </c>
      <c r="B90" s="124" t="s">
        <v>1941</v>
      </c>
      <c r="C90" s="101" t="s">
        <v>3190</v>
      </c>
      <c r="D90" s="101" t="s">
        <v>3185</v>
      </c>
      <c r="E90" s="554" t="s">
        <v>1259</v>
      </c>
      <c r="F90" s="534" t="s">
        <v>1258</v>
      </c>
      <c r="G90" s="555"/>
      <c r="H90" s="555"/>
      <c r="I90" s="556"/>
      <c r="J90" s="557"/>
      <c r="K90" s="558"/>
      <c r="L90" s="95"/>
      <c r="M90" s="104"/>
      <c r="N90" s="137">
        <v>0</v>
      </c>
      <c r="O90" s="138">
        <v>0</v>
      </c>
      <c r="P90" s="138">
        <v>0</v>
      </c>
      <c r="Q90" s="138">
        <v>0</v>
      </c>
      <c r="R90" s="138">
        <v>0</v>
      </c>
      <c r="S90" s="139">
        <v>0</v>
      </c>
      <c r="T90" s="322">
        <f t="shared" si="16"/>
        <v>0</v>
      </c>
      <c r="U90" s="140" t="str">
        <f t="shared" si="17"/>
        <v/>
      </c>
      <c r="V90" s="322">
        <f t="shared" si="13"/>
        <v>0</v>
      </c>
      <c r="W90" s="140" t="str">
        <f t="shared" si="18"/>
        <v/>
      </c>
      <c r="X90" s="322">
        <f t="shared" si="19"/>
        <v>0</v>
      </c>
      <c r="Y90" s="140" t="str">
        <f t="shared" si="20"/>
        <v/>
      </c>
      <c r="Z90" s="519">
        <v>0</v>
      </c>
      <c r="AA90" s="111">
        <f t="shared" si="14"/>
        <v>0</v>
      </c>
      <c r="AB90" s="111">
        <f t="shared" si="15"/>
        <v>0</v>
      </c>
    </row>
    <row r="91" spans="1:28" ht="17.25" customHeight="1">
      <c r="A91" s="114" t="s">
        <v>1260</v>
      </c>
      <c r="B91" s="125" t="s">
        <v>1941</v>
      </c>
      <c r="C91" s="97" t="s">
        <v>3190</v>
      </c>
      <c r="D91" s="97" t="s">
        <v>3183</v>
      </c>
      <c r="E91" s="559" t="s">
        <v>1259</v>
      </c>
      <c r="F91" s="540" t="s">
        <v>1258</v>
      </c>
      <c r="G91" s="555" t="s">
        <v>889</v>
      </c>
      <c r="H91" s="555" t="s">
        <v>3439</v>
      </c>
      <c r="I91" s="556" t="s">
        <v>1261</v>
      </c>
      <c r="J91" s="557" t="s">
        <v>2876</v>
      </c>
      <c r="K91" s="558" t="s">
        <v>2877</v>
      </c>
      <c r="L91" s="95"/>
      <c r="M91" s="104"/>
      <c r="N91" s="137">
        <v>2192954.75</v>
      </c>
      <c r="O91" s="138">
        <v>2193000</v>
      </c>
      <c r="P91" s="138">
        <v>2193000</v>
      </c>
      <c r="Q91" s="138">
        <v>2237000</v>
      </c>
      <c r="R91" s="138">
        <v>2282000</v>
      </c>
      <c r="S91" s="139">
        <v>2328000</v>
      </c>
      <c r="T91" s="322">
        <f t="shared" si="16"/>
        <v>44045.25</v>
      </c>
      <c r="U91" s="140">
        <f t="shared" si="17"/>
        <v>2.0084887752471865E-2</v>
      </c>
      <c r="V91" s="322">
        <f t="shared" si="13"/>
        <v>44000</v>
      </c>
      <c r="W91" s="140">
        <f t="shared" si="18"/>
        <v>2.0063839489284085E-2</v>
      </c>
      <c r="X91" s="322">
        <f t="shared" si="19"/>
        <v>44000</v>
      </c>
      <c r="Y91" s="140">
        <f t="shared" si="20"/>
        <v>2.0063839489284085E-2</v>
      </c>
      <c r="Z91" s="519">
        <v>1644813.75</v>
      </c>
      <c r="AA91" s="111">
        <f t="shared" si="14"/>
        <v>2193085</v>
      </c>
      <c r="AB91" s="111">
        <f t="shared" si="15"/>
        <v>-85</v>
      </c>
    </row>
    <row r="92" spans="1:28" ht="17.25" customHeight="1">
      <c r="A92" s="115" t="s">
        <v>1262</v>
      </c>
      <c r="B92" s="124" t="s">
        <v>1941</v>
      </c>
      <c r="C92" s="101" t="s">
        <v>1263</v>
      </c>
      <c r="D92" s="101" t="s">
        <v>3185</v>
      </c>
      <c r="E92" s="534" t="s">
        <v>1265</v>
      </c>
      <c r="F92" s="534" t="s">
        <v>1264</v>
      </c>
      <c r="G92" s="555"/>
      <c r="H92" s="555"/>
      <c r="I92" s="556"/>
      <c r="J92" s="557"/>
      <c r="K92" s="558"/>
      <c r="L92" s="95"/>
      <c r="M92" s="104"/>
      <c r="N92" s="137">
        <v>0</v>
      </c>
      <c r="O92" s="138">
        <v>0</v>
      </c>
      <c r="P92" s="138">
        <v>0</v>
      </c>
      <c r="Q92" s="138">
        <v>0</v>
      </c>
      <c r="R92" s="138">
        <v>0</v>
      </c>
      <c r="S92" s="139">
        <v>0</v>
      </c>
      <c r="T92" s="322">
        <f t="shared" si="16"/>
        <v>0</v>
      </c>
      <c r="U92" s="140" t="str">
        <f t="shared" si="17"/>
        <v/>
      </c>
      <c r="V92" s="322">
        <f t="shared" si="13"/>
        <v>0</v>
      </c>
      <c r="W92" s="140" t="str">
        <f t="shared" si="18"/>
        <v/>
      </c>
      <c r="X92" s="322">
        <f t="shared" si="19"/>
        <v>0</v>
      </c>
      <c r="Y92" s="140" t="str">
        <f t="shared" si="20"/>
        <v/>
      </c>
      <c r="Z92" s="519">
        <v>0</v>
      </c>
      <c r="AA92" s="111">
        <f t="shared" si="14"/>
        <v>0</v>
      </c>
      <c r="AB92" s="111">
        <f t="shared" si="15"/>
        <v>0</v>
      </c>
    </row>
    <row r="93" spans="1:28" ht="17.25" customHeight="1">
      <c r="A93" s="114" t="s">
        <v>1266</v>
      </c>
      <c r="B93" s="125" t="s">
        <v>1941</v>
      </c>
      <c r="C93" s="97" t="s">
        <v>1263</v>
      </c>
      <c r="D93" s="97" t="s">
        <v>3183</v>
      </c>
      <c r="E93" s="559" t="s">
        <v>1265</v>
      </c>
      <c r="F93" s="540" t="s">
        <v>1264</v>
      </c>
      <c r="G93" s="555" t="s">
        <v>909</v>
      </c>
      <c r="H93" s="555" t="s">
        <v>2757</v>
      </c>
      <c r="I93" s="556" t="s">
        <v>1267</v>
      </c>
      <c r="J93" s="557" t="s">
        <v>2876</v>
      </c>
      <c r="K93" s="558" t="s">
        <v>2877</v>
      </c>
      <c r="L93" s="95"/>
      <c r="M93" s="104"/>
      <c r="N93" s="137">
        <v>242099.13</v>
      </c>
      <c r="O93" s="138">
        <v>245000</v>
      </c>
      <c r="P93" s="138">
        <v>230000</v>
      </c>
      <c r="Q93" s="138">
        <v>235000</v>
      </c>
      <c r="R93" s="138">
        <v>240000</v>
      </c>
      <c r="S93" s="139">
        <v>245000</v>
      </c>
      <c r="T93" s="322">
        <f t="shared" si="16"/>
        <v>-7099.1300000000047</v>
      </c>
      <c r="U93" s="140">
        <f t="shared" si="17"/>
        <v>-2.9323236312332079E-2</v>
      </c>
      <c r="V93" s="322">
        <f t="shared" si="13"/>
        <v>-10000</v>
      </c>
      <c r="W93" s="140">
        <f t="shared" si="18"/>
        <v>-4.0816326530612242E-2</v>
      </c>
      <c r="X93" s="322">
        <f t="shared" si="19"/>
        <v>5000</v>
      </c>
      <c r="Y93" s="140">
        <f t="shared" si="20"/>
        <v>2.1739130434782608E-2</v>
      </c>
      <c r="Z93" s="519">
        <v>172499.68</v>
      </c>
      <c r="AA93" s="111">
        <f t="shared" si="14"/>
        <v>229999.57333333333</v>
      </c>
      <c r="AB93" s="111">
        <f t="shared" si="15"/>
        <v>0.42666666666627862</v>
      </c>
    </row>
    <row r="94" spans="1:28" ht="17.25" customHeight="1">
      <c r="A94" s="115" t="s">
        <v>1268</v>
      </c>
      <c r="B94" s="124" t="s">
        <v>1941</v>
      </c>
      <c r="C94" s="101" t="s">
        <v>3191</v>
      </c>
      <c r="D94" s="101" t="s">
        <v>3185</v>
      </c>
      <c r="E94" s="554" t="s">
        <v>1270</v>
      </c>
      <c r="F94" s="534" t="s">
        <v>1269</v>
      </c>
      <c r="G94" s="555"/>
      <c r="H94" s="555"/>
      <c r="I94" s="556"/>
      <c r="J94" s="557"/>
      <c r="K94" s="558"/>
      <c r="L94" s="95"/>
      <c r="M94" s="104"/>
      <c r="N94" s="137">
        <v>0</v>
      </c>
      <c r="O94" s="138">
        <v>0</v>
      </c>
      <c r="P94" s="138">
        <v>0</v>
      </c>
      <c r="Q94" s="138">
        <v>0</v>
      </c>
      <c r="R94" s="138">
        <v>0</v>
      </c>
      <c r="S94" s="139">
        <v>0</v>
      </c>
      <c r="T94" s="322">
        <f t="shared" si="16"/>
        <v>0</v>
      </c>
      <c r="U94" s="140" t="str">
        <f t="shared" si="17"/>
        <v/>
      </c>
      <c r="V94" s="322">
        <f t="shared" si="13"/>
        <v>0</v>
      </c>
      <c r="W94" s="140" t="str">
        <f t="shared" si="18"/>
        <v/>
      </c>
      <c r="X94" s="322">
        <f t="shared" si="19"/>
        <v>0</v>
      </c>
      <c r="Y94" s="140" t="str">
        <f t="shared" si="20"/>
        <v/>
      </c>
      <c r="Z94" s="519">
        <v>0</v>
      </c>
      <c r="AA94" s="111">
        <f t="shared" si="14"/>
        <v>0</v>
      </c>
      <c r="AB94" s="111">
        <f t="shared" si="15"/>
        <v>0</v>
      </c>
    </row>
    <row r="95" spans="1:28" ht="28.5" customHeight="1">
      <c r="A95" s="114" t="s">
        <v>1271</v>
      </c>
      <c r="B95" s="125" t="s">
        <v>1941</v>
      </c>
      <c r="C95" s="97" t="s">
        <v>3191</v>
      </c>
      <c r="D95" s="97" t="s">
        <v>3193</v>
      </c>
      <c r="E95" s="559" t="s">
        <v>5413</v>
      </c>
      <c r="F95" s="540" t="s">
        <v>5266</v>
      </c>
      <c r="G95" s="555" t="s">
        <v>1310</v>
      </c>
      <c r="H95" s="555" t="s">
        <v>3440</v>
      </c>
      <c r="I95" s="556" t="s">
        <v>3441</v>
      </c>
      <c r="J95" s="557" t="s">
        <v>3607</v>
      </c>
      <c r="K95" s="558" t="s">
        <v>2868</v>
      </c>
      <c r="L95" s="95"/>
      <c r="M95" s="104"/>
      <c r="N95" s="137">
        <v>2394.04</v>
      </c>
      <c r="O95" s="138">
        <v>0</v>
      </c>
      <c r="P95" s="138">
        <v>0</v>
      </c>
      <c r="Q95" s="138">
        <v>0</v>
      </c>
      <c r="R95" s="138">
        <v>0</v>
      </c>
      <c r="S95" s="139">
        <v>0</v>
      </c>
      <c r="T95" s="322">
        <f t="shared" si="16"/>
        <v>-2394.04</v>
      </c>
      <c r="U95" s="140">
        <f t="shared" si="17"/>
        <v>-1</v>
      </c>
      <c r="V95" s="322">
        <f t="shared" si="13"/>
        <v>0</v>
      </c>
      <c r="W95" s="140" t="str">
        <f t="shared" si="18"/>
        <v/>
      </c>
      <c r="X95" s="322">
        <f t="shared" si="19"/>
        <v>0</v>
      </c>
      <c r="Y95" s="140" t="str">
        <f t="shared" si="20"/>
        <v/>
      </c>
      <c r="Z95" s="519">
        <v>0</v>
      </c>
      <c r="AA95" s="111">
        <f t="shared" si="14"/>
        <v>0</v>
      </c>
      <c r="AB95" s="111">
        <f t="shared" si="15"/>
        <v>0</v>
      </c>
    </row>
    <row r="96" spans="1:28" ht="28.5" customHeight="1">
      <c r="A96" s="114" t="s">
        <v>1272</v>
      </c>
      <c r="B96" s="125" t="s">
        <v>1941</v>
      </c>
      <c r="C96" s="97" t="s">
        <v>3191</v>
      </c>
      <c r="D96" s="97" t="s">
        <v>1404</v>
      </c>
      <c r="E96" s="559" t="s">
        <v>1273</v>
      </c>
      <c r="F96" s="540" t="s">
        <v>5267</v>
      </c>
      <c r="G96" s="555" t="s">
        <v>1314</v>
      </c>
      <c r="H96" s="555" t="s">
        <v>3442</v>
      </c>
      <c r="I96" s="556" t="s">
        <v>3443</v>
      </c>
      <c r="J96" s="557" t="s">
        <v>3607</v>
      </c>
      <c r="K96" s="558" t="s">
        <v>2868</v>
      </c>
      <c r="L96" s="95"/>
      <c r="M96" s="104"/>
      <c r="N96" s="137">
        <v>0</v>
      </c>
      <c r="O96" s="138">
        <v>0</v>
      </c>
      <c r="P96" s="138">
        <v>0</v>
      </c>
      <c r="Q96" s="138">
        <v>0</v>
      </c>
      <c r="R96" s="138">
        <v>0</v>
      </c>
      <c r="S96" s="139">
        <v>0</v>
      </c>
      <c r="T96" s="322">
        <f t="shared" si="16"/>
        <v>0</v>
      </c>
      <c r="U96" s="140" t="str">
        <f t="shared" si="17"/>
        <v/>
      </c>
      <c r="V96" s="322">
        <f t="shared" si="13"/>
        <v>0</v>
      </c>
      <c r="W96" s="140" t="str">
        <f t="shared" si="18"/>
        <v/>
      </c>
      <c r="X96" s="322">
        <f t="shared" si="19"/>
        <v>0</v>
      </c>
      <c r="Y96" s="140" t="str">
        <f t="shared" si="20"/>
        <v/>
      </c>
      <c r="Z96" s="519">
        <v>0</v>
      </c>
      <c r="AA96" s="111">
        <f t="shared" si="14"/>
        <v>0</v>
      </c>
      <c r="AB96" s="111">
        <f t="shared" si="15"/>
        <v>0</v>
      </c>
    </row>
    <row r="97" spans="1:28" ht="28.5" customHeight="1">
      <c r="A97" s="114" t="s">
        <v>1274</v>
      </c>
      <c r="B97" s="125" t="s">
        <v>1941</v>
      </c>
      <c r="C97" s="97" t="s">
        <v>3191</v>
      </c>
      <c r="D97" s="97" t="s">
        <v>1405</v>
      </c>
      <c r="E97" s="559" t="s">
        <v>1275</v>
      </c>
      <c r="F97" s="540" t="s">
        <v>5268</v>
      </c>
      <c r="G97" s="555" t="s">
        <v>1314</v>
      </c>
      <c r="H97" s="555" t="s">
        <v>3442</v>
      </c>
      <c r="I97" s="556" t="s">
        <v>3443</v>
      </c>
      <c r="J97" s="557" t="s">
        <v>3607</v>
      </c>
      <c r="K97" s="558" t="s">
        <v>2868</v>
      </c>
      <c r="L97" s="95"/>
      <c r="M97" s="104"/>
      <c r="N97" s="137">
        <v>0</v>
      </c>
      <c r="O97" s="138">
        <v>0</v>
      </c>
      <c r="P97" s="138">
        <v>0</v>
      </c>
      <c r="Q97" s="138">
        <v>0</v>
      </c>
      <c r="R97" s="138">
        <v>0</v>
      </c>
      <c r="S97" s="139">
        <v>0</v>
      </c>
      <c r="T97" s="322">
        <f t="shared" si="16"/>
        <v>0</v>
      </c>
      <c r="U97" s="140" t="str">
        <f t="shared" si="17"/>
        <v/>
      </c>
      <c r="V97" s="322">
        <f t="shared" si="13"/>
        <v>0</v>
      </c>
      <c r="W97" s="140" t="str">
        <f t="shared" si="18"/>
        <v/>
      </c>
      <c r="X97" s="322">
        <f t="shared" si="19"/>
        <v>0</v>
      </c>
      <c r="Y97" s="140" t="str">
        <f t="shared" si="20"/>
        <v/>
      </c>
      <c r="Z97" s="519">
        <v>0</v>
      </c>
      <c r="AA97" s="111">
        <f t="shared" si="14"/>
        <v>0</v>
      </c>
      <c r="AB97" s="111">
        <f t="shared" si="15"/>
        <v>0</v>
      </c>
    </row>
    <row r="98" spans="1:28" ht="17.25" customHeight="1">
      <c r="A98" s="114" t="s">
        <v>1973</v>
      </c>
      <c r="B98" s="125" t="s">
        <v>1941</v>
      </c>
      <c r="C98" s="97" t="s">
        <v>3191</v>
      </c>
      <c r="D98" s="97" t="s">
        <v>2291</v>
      </c>
      <c r="E98" s="559" t="s">
        <v>1974</v>
      </c>
      <c r="F98" s="540" t="s">
        <v>5269</v>
      </c>
      <c r="G98" s="555" t="s">
        <v>1314</v>
      </c>
      <c r="H98" s="555" t="s">
        <v>3442</v>
      </c>
      <c r="I98" s="556" t="s">
        <v>3443</v>
      </c>
      <c r="J98" s="557" t="s">
        <v>3607</v>
      </c>
      <c r="K98" s="558" t="s">
        <v>2868</v>
      </c>
      <c r="L98" s="95"/>
      <c r="M98" s="104"/>
      <c r="N98" s="137">
        <v>5956.34</v>
      </c>
      <c r="O98" s="138">
        <v>2300</v>
      </c>
      <c r="P98" s="138">
        <v>14000</v>
      </c>
      <c r="Q98" s="138">
        <v>14000</v>
      </c>
      <c r="R98" s="138">
        <v>14000</v>
      </c>
      <c r="S98" s="139">
        <v>14000</v>
      </c>
      <c r="T98" s="322">
        <f t="shared" si="16"/>
        <v>8043.66</v>
      </c>
      <c r="U98" s="140">
        <f t="shared" si="17"/>
        <v>1.3504366775570231</v>
      </c>
      <c r="V98" s="322">
        <f t="shared" si="13"/>
        <v>11700</v>
      </c>
      <c r="W98" s="140">
        <f t="shared" si="18"/>
        <v>5.0869565217391308</v>
      </c>
      <c r="X98" s="322">
        <f t="shared" si="19"/>
        <v>0</v>
      </c>
      <c r="Y98" s="140">
        <f t="shared" si="20"/>
        <v>0</v>
      </c>
      <c r="Z98" s="519">
        <v>8455.7099999999991</v>
      </c>
      <c r="AA98" s="111">
        <f t="shared" si="14"/>
        <v>11274.279999999999</v>
      </c>
      <c r="AB98" s="111">
        <f t="shared" si="15"/>
        <v>2725.7200000000012</v>
      </c>
    </row>
    <row r="99" spans="1:28" ht="36" customHeight="1">
      <c r="A99" s="114" t="s">
        <v>1975</v>
      </c>
      <c r="B99" s="125" t="s">
        <v>1941</v>
      </c>
      <c r="C99" s="97" t="s">
        <v>3191</v>
      </c>
      <c r="D99" s="97" t="s">
        <v>1694</v>
      </c>
      <c r="E99" s="559" t="s">
        <v>1977</v>
      </c>
      <c r="F99" s="540" t="s">
        <v>1976</v>
      </c>
      <c r="G99" s="555" t="s">
        <v>915</v>
      </c>
      <c r="H99" s="555" t="s">
        <v>3444</v>
      </c>
      <c r="I99" s="556" t="s">
        <v>3445</v>
      </c>
      <c r="J99" s="557" t="s">
        <v>2878</v>
      </c>
      <c r="K99" s="558" t="s">
        <v>3446</v>
      </c>
      <c r="L99" s="95"/>
      <c r="M99" s="104"/>
      <c r="N99" s="137">
        <v>0</v>
      </c>
      <c r="O99" s="138">
        <v>0</v>
      </c>
      <c r="P99" s="138">
        <v>0</v>
      </c>
      <c r="Q99" s="138">
        <v>0</v>
      </c>
      <c r="R99" s="138">
        <v>0</v>
      </c>
      <c r="S99" s="139">
        <v>0</v>
      </c>
      <c r="T99" s="322">
        <f t="shared" si="16"/>
        <v>0</v>
      </c>
      <c r="U99" s="140" t="str">
        <f t="shared" si="17"/>
        <v/>
      </c>
      <c r="V99" s="322">
        <f t="shared" si="13"/>
        <v>0</v>
      </c>
      <c r="W99" s="140" t="str">
        <f t="shared" si="18"/>
        <v/>
      </c>
      <c r="X99" s="322">
        <f t="shared" si="19"/>
        <v>0</v>
      </c>
      <c r="Y99" s="140" t="str">
        <f t="shared" si="20"/>
        <v/>
      </c>
      <c r="Z99" s="519">
        <v>0</v>
      </c>
      <c r="AA99" s="111">
        <f t="shared" si="14"/>
        <v>0</v>
      </c>
      <c r="AB99" s="111">
        <f t="shared" si="15"/>
        <v>0</v>
      </c>
    </row>
    <row r="100" spans="1:28" ht="28.5" customHeight="1">
      <c r="A100" s="114" t="s">
        <v>1978</v>
      </c>
      <c r="B100" s="125" t="s">
        <v>1941</v>
      </c>
      <c r="C100" s="97" t="s">
        <v>3191</v>
      </c>
      <c r="D100" s="97" t="s">
        <v>2137</v>
      </c>
      <c r="E100" s="559" t="s">
        <v>1980</v>
      </c>
      <c r="F100" s="540" t="s">
        <v>1979</v>
      </c>
      <c r="G100" s="555" t="s">
        <v>919</v>
      </c>
      <c r="H100" s="555" t="s">
        <v>3447</v>
      </c>
      <c r="I100" s="556" t="s">
        <v>1981</v>
      </c>
      <c r="J100" s="557" t="s">
        <v>2878</v>
      </c>
      <c r="K100" s="558" t="s">
        <v>3446</v>
      </c>
      <c r="L100" s="95"/>
      <c r="M100" s="104"/>
      <c r="N100" s="137">
        <v>114448.67</v>
      </c>
      <c r="O100" s="138">
        <v>163000</v>
      </c>
      <c r="P100" s="138">
        <v>120000</v>
      </c>
      <c r="Q100" s="138">
        <v>140000</v>
      </c>
      <c r="R100" s="138">
        <v>140000</v>
      </c>
      <c r="S100" s="139">
        <v>140000</v>
      </c>
      <c r="T100" s="322">
        <f t="shared" si="16"/>
        <v>25551.33</v>
      </c>
      <c r="U100" s="140">
        <f t="shared" si="17"/>
        <v>0.22325580541914555</v>
      </c>
      <c r="V100" s="322">
        <f t="shared" si="13"/>
        <v>-23000</v>
      </c>
      <c r="W100" s="140">
        <f t="shared" si="18"/>
        <v>-0.1411042944785276</v>
      </c>
      <c r="X100" s="322">
        <f t="shared" si="19"/>
        <v>20000</v>
      </c>
      <c r="Y100" s="140">
        <f t="shared" si="20"/>
        <v>0.16666666666666666</v>
      </c>
      <c r="Z100" s="519">
        <v>56381.86</v>
      </c>
      <c r="AA100" s="111">
        <f t="shared" si="14"/>
        <v>75175.813333333339</v>
      </c>
      <c r="AB100" s="111">
        <f t="shared" si="15"/>
        <v>44824.186666666661</v>
      </c>
    </row>
    <row r="101" spans="1:28" ht="36" customHeight="1">
      <c r="A101" s="115" t="s">
        <v>1982</v>
      </c>
      <c r="B101" s="124" t="s">
        <v>1941</v>
      </c>
      <c r="C101" s="101" t="s">
        <v>2139</v>
      </c>
      <c r="D101" s="101" t="s">
        <v>3185</v>
      </c>
      <c r="E101" s="554" t="s">
        <v>1983</v>
      </c>
      <c r="F101" s="534" t="s">
        <v>5603</v>
      </c>
      <c r="G101" s="555"/>
      <c r="H101" s="555"/>
      <c r="I101" s="556"/>
      <c r="J101" s="557"/>
      <c r="K101" s="558"/>
      <c r="L101" s="95"/>
      <c r="M101" s="104"/>
      <c r="N101" s="137">
        <v>0</v>
      </c>
      <c r="O101" s="138">
        <v>0</v>
      </c>
      <c r="P101" s="138">
        <v>0</v>
      </c>
      <c r="Q101" s="138">
        <v>0</v>
      </c>
      <c r="R101" s="138">
        <v>0</v>
      </c>
      <c r="S101" s="139">
        <v>0</v>
      </c>
      <c r="T101" s="322">
        <f t="shared" si="16"/>
        <v>0</v>
      </c>
      <c r="U101" s="140" t="str">
        <f t="shared" si="17"/>
        <v/>
      </c>
      <c r="V101" s="322">
        <f t="shared" si="13"/>
        <v>0</v>
      </c>
      <c r="W101" s="140" t="str">
        <f t="shared" si="18"/>
        <v/>
      </c>
      <c r="X101" s="322">
        <f t="shared" si="19"/>
        <v>0</v>
      </c>
      <c r="Y101" s="140" t="str">
        <f t="shared" si="20"/>
        <v/>
      </c>
      <c r="Z101" s="519">
        <v>0</v>
      </c>
      <c r="AA101" s="111">
        <f t="shared" si="14"/>
        <v>0</v>
      </c>
      <c r="AB101" s="111">
        <f t="shared" si="15"/>
        <v>0</v>
      </c>
    </row>
    <row r="102" spans="1:28" ht="36" customHeight="1">
      <c r="A102" s="515" t="s">
        <v>5237</v>
      </c>
      <c r="B102" s="516" t="s">
        <v>1941</v>
      </c>
      <c r="C102" s="517" t="s">
        <v>2139</v>
      </c>
      <c r="D102" s="517" t="s">
        <v>3099</v>
      </c>
      <c r="E102" s="559" t="s">
        <v>5238</v>
      </c>
      <c r="F102" s="540" t="s">
        <v>5239</v>
      </c>
      <c r="G102" s="555" t="s">
        <v>907</v>
      </c>
      <c r="H102" s="555" t="s">
        <v>5240</v>
      </c>
      <c r="I102" s="556" t="s">
        <v>5241</v>
      </c>
      <c r="J102" s="557" t="s">
        <v>2876</v>
      </c>
      <c r="K102" s="558" t="s">
        <v>2877</v>
      </c>
      <c r="L102" s="95"/>
      <c r="M102" s="104"/>
      <c r="N102" s="137">
        <v>0</v>
      </c>
      <c r="O102" s="138">
        <v>0</v>
      </c>
      <c r="P102" s="138">
        <v>0</v>
      </c>
      <c r="Q102" s="138">
        <v>0</v>
      </c>
      <c r="R102" s="138">
        <v>0</v>
      </c>
      <c r="S102" s="139">
        <v>0</v>
      </c>
      <c r="T102" s="322">
        <f t="shared" si="16"/>
        <v>0</v>
      </c>
      <c r="U102" s="140" t="str">
        <f t="shared" si="17"/>
        <v/>
      </c>
      <c r="V102" s="322">
        <f t="shared" si="13"/>
        <v>0</v>
      </c>
      <c r="W102" s="140" t="str">
        <f t="shared" si="18"/>
        <v/>
      </c>
      <c r="X102" s="322">
        <f t="shared" ref="X102" si="21">IF(P102="","",Q102-P102)</f>
        <v>0</v>
      </c>
      <c r="Y102" s="140" t="str">
        <f t="shared" ref="Y102" si="22">IF(P102=0,"",X102/P102)</f>
        <v/>
      </c>
      <c r="Z102" s="519">
        <v>0</v>
      </c>
      <c r="AA102" s="111">
        <f t="shared" si="14"/>
        <v>0</v>
      </c>
      <c r="AB102" s="111">
        <f t="shared" si="15"/>
        <v>0</v>
      </c>
    </row>
    <row r="103" spans="1:28" ht="36" customHeight="1">
      <c r="A103" s="114" t="s">
        <v>1984</v>
      </c>
      <c r="B103" s="125" t="s">
        <v>1941</v>
      </c>
      <c r="C103" s="97" t="s">
        <v>2139</v>
      </c>
      <c r="D103" s="97" t="s">
        <v>3183</v>
      </c>
      <c r="E103" s="559" t="s">
        <v>5270</v>
      </c>
      <c r="F103" s="540" t="s">
        <v>5271</v>
      </c>
      <c r="G103" s="555" t="s">
        <v>909</v>
      </c>
      <c r="H103" s="555" t="s">
        <v>2757</v>
      </c>
      <c r="I103" s="556" t="s">
        <v>1267</v>
      </c>
      <c r="J103" s="557" t="s">
        <v>2876</v>
      </c>
      <c r="K103" s="558" t="s">
        <v>2877</v>
      </c>
      <c r="L103" s="95"/>
      <c r="M103" s="104"/>
      <c r="N103" s="137">
        <v>8357464.0499999989</v>
      </c>
      <c r="O103" s="138">
        <v>7300000</v>
      </c>
      <c r="P103" s="138">
        <v>8550000</v>
      </c>
      <c r="Q103" s="138">
        <v>9033000</v>
      </c>
      <c r="R103" s="138">
        <v>9580000</v>
      </c>
      <c r="S103" s="139">
        <v>9585000</v>
      </c>
      <c r="T103" s="322">
        <f t="shared" si="16"/>
        <v>675535.95000000112</v>
      </c>
      <c r="U103" s="140">
        <f t="shared" si="17"/>
        <v>8.0830254962329304E-2</v>
      </c>
      <c r="V103" s="322">
        <f t="shared" si="13"/>
        <v>1733000</v>
      </c>
      <c r="W103" s="140">
        <f t="shared" si="18"/>
        <v>0.23739726027397259</v>
      </c>
      <c r="X103" s="322">
        <f t="shared" si="19"/>
        <v>483000</v>
      </c>
      <c r="Y103" s="140">
        <f t="shared" si="20"/>
        <v>5.6491228070175439E-2</v>
      </c>
      <c r="Z103" s="519">
        <v>6412112.8500000006</v>
      </c>
      <c r="AA103" s="111">
        <f t="shared" si="14"/>
        <v>8549483.8000000007</v>
      </c>
      <c r="AB103" s="111">
        <f t="shared" si="15"/>
        <v>516.19999999925494</v>
      </c>
    </row>
    <row r="104" spans="1:28" ht="25.5" customHeight="1">
      <c r="A104" s="116" t="s">
        <v>1985</v>
      </c>
      <c r="B104" s="126" t="s">
        <v>1941</v>
      </c>
      <c r="C104" s="98" t="s">
        <v>2139</v>
      </c>
      <c r="D104" s="98" t="s">
        <v>3193</v>
      </c>
      <c r="E104" s="540" t="s">
        <v>1987</v>
      </c>
      <c r="F104" s="540" t="s">
        <v>1986</v>
      </c>
      <c r="G104" s="555" t="s">
        <v>909</v>
      </c>
      <c r="H104" s="555" t="s">
        <v>2757</v>
      </c>
      <c r="I104" s="556" t="s">
        <v>1267</v>
      </c>
      <c r="J104" s="557" t="s">
        <v>2876</v>
      </c>
      <c r="K104" s="558" t="s">
        <v>2877</v>
      </c>
      <c r="L104" s="95"/>
      <c r="M104" s="104"/>
      <c r="N104" s="137">
        <v>1337497.3</v>
      </c>
      <c r="O104" s="138">
        <v>1240000</v>
      </c>
      <c r="P104" s="138">
        <v>1455000</v>
      </c>
      <c r="Q104" s="138">
        <v>1472000</v>
      </c>
      <c r="R104" s="138">
        <v>1490000</v>
      </c>
      <c r="S104" s="139">
        <v>1508000</v>
      </c>
      <c r="T104" s="322">
        <f t="shared" si="16"/>
        <v>134502.69999999995</v>
      </c>
      <c r="U104" s="140">
        <f t="shared" si="17"/>
        <v>0.10056296936076053</v>
      </c>
      <c r="V104" s="322">
        <f t="shared" si="13"/>
        <v>232000</v>
      </c>
      <c r="W104" s="140">
        <f t="shared" si="18"/>
        <v>0.18709677419354839</v>
      </c>
      <c r="X104" s="322">
        <f t="shared" si="19"/>
        <v>17000</v>
      </c>
      <c r="Y104" s="140">
        <f t="shared" si="20"/>
        <v>1.1683848797250859E-2</v>
      </c>
      <c r="Z104" s="519">
        <v>1090881.5499999998</v>
      </c>
      <c r="AA104" s="111">
        <f t="shared" si="14"/>
        <v>1454508.7333333332</v>
      </c>
      <c r="AB104" s="111">
        <f t="shared" si="15"/>
        <v>491.26666666683741</v>
      </c>
    </row>
    <row r="105" spans="1:28" ht="15.75" customHeight="1">
      <c r="A105" s="114" t="s">
        <v>1988</v>
      </c>
      <c r="B105" s="125" t="s">
        <v>1941</v>
      </c>
      <c r="C105" s="97" t="s">
        <v>2139</v>
      </c>
      <c r="D105" s="97" t="s">
        <v>2631</v>
      </c>
      <c r="E105" s="540" t="s">
        <v>1990</v>
      </c>
      <c r="F105" s="540" t="s">
        <v>1989</v>
      </c>
      <c r="G105" s="511" t="s">
        <v>661</v>
      </c>
      <c r="H105" s="512" t="s">
        <v>2782</v>
      </c>
      <c r="I105" s="544" t="s">
        <v>3449</v>
      </c>
      <c r="J105" s="542" t="s">
        <v>3599</v>
      </c>
      <c r="K105" s="543" t="s">
        <v>3601</v>
      </c>
      <c r="L105" s="95"/>
      <c r="M105" s="104"/>
      <c r="N105" s="137">
        <v>3940520.35</v>
      </c>
      <c r="O105" s="138">
        <v>4050000</v>
      </c>
      <c r="P105" s="138">
        <v>4050000</v>
      </c>
      <c r="Q105" s="138">
        <v>4099000</v>
      </c>
      <c r="R105" s="138">
        <v>4148000</v>
      </c>
      <c r="S105" s="139">
        <v>4198000</v>
      </c>
      <c r="T105" s="322">
        <f t="shared" si="16"/>
        <v>158479.64999999991</v>
      </c>
      <c r="U105" s="140">
        <f t="shared" si="17"/>
        <v>4.0217949895881115E-2</v>
      </c>
      <c r="V105" s="322">
        <f t="shared" si="13"/>
        <v>49000</v>
      </c>
      <c r="W105" s="140">
        <f t="shared" si="18"/>
        <v>1.2098765432098766E-2</v>
      </c>
      <c r="X105" s="322">
        <f t="shared" si="19"/>
        <v>49000</v>
      </c>
      <c r="Y105" s="140">
        <f t="shared" si="20"/>
        <v>1.2098765432098766E-2</v>
      </c>
      <c r="Z105" s="519">
        <v>3037742.42</v>
      </c>
      <c r="AA105" s="111">
        <f t="shared" si="14"/>
        <v>4050323.2266666666</v>
      </c>
      <c r="AB105" s="111">
        <f t="shared" si="15"/>
        <v>-323.22666666656733</v>
      </c>
    </row>
    <row r="106" spans="1:28" ht="25.5" customHeight="1">
      <c r="A106" s="114" t="s">
        <v>1992</v>
      </c>
      <c r="B106" s="125" t="s">
        <v>1941</v>
      </c>
      <c r="C106" s="97" t="s">
        <v>2139</v>
      </c>
      <c r="D106" s="97" t="s">
        <v>1404</v>
      </c>
      <c r="E106" s="540" t="s">
        <v>1993</v>
      </c>
      <c r="F106" s="540" t="s">
        <v>5272</v>
      </c>
      <c r="G106" s="555" t="s">
        <v>1319</v>
      </c>
      <c r="H106" s="555" t="s">
        <v>3450</v>
      </c>
      <c r="I106" s="556" t="s">
        <v>3451</v>
      </c>
      <c r="J106" s="557" t="s">
        <v>3607</v>
      </c>
      <c r="K106" s="558" t="s">
        <v>2868</v>
      </c>
      <c r="L106" s="95"/>
      <c r="M106" s="104"/>
      <c r="N106" s="137">
        <v>2191964.42</v>
      </c>
      <c r="O106" s="138">
        <v>2217000</v>
      </c>
      <c r="P106" s="138">
        <v>1965000</v>
      </c>
      <c r="Q106" s="138">
        <v>2004000</v>
      </c>
      <c r="R106" s="138">
        <v>2044000</v>
      </c>
      <c r="S106" s="139">
        <v>2085000</v>
      </c>
      <c r="T106" s="322">
        <f t="shared" si="16"/>
        <v>-187964.41999999993</v>
      </c>
      <c r="U106" s="140">
        <f t="shared" si="17"/>
        <v>-8.5751583504261417E-2</v>
      </c>
      <c r="V106" s="322">
        <f t="shared" si="13"/>
        <v>-213000</v>
      </c>
      <c r="W106" s="140">
        <f t="shared" si="18"/>
        <v>-9.6075778078484442E-2</v>
      </c>
      <c r="X106" s="322">
        <f t="shared" si="19"/>
        <v>39000</v>
      </c>
      <c r="Y106" s="140">
        <f t="shared" si="20"/>
        <v>1.984732824427481E-2</v>
      </c>
      <c r="Z106" s="519">
        <v>1473538.47</v>
      </c>
      <c r="AA106" s="111">
        <f t="shared" si="14"/>
        <v>1964717.96</v>
      </c>
      <c r="AB106" s="111">
        <f t="shared" si="15"/>
        <v>282.04000000003725</v>
      </c>
    </row>
    <row r="107" spans="1:28" ht="25.5" customHeight="1">
      <c r="A107" s="114" t="s">
        <v>3687</v>
      </c>
      <c r="B107" s="125" t="s">
        <v>1941</v>
      </c>
      <c r="C107" s="97" t="s">
        <v>2139</v>
      </c>
      <c r="D107" s="97" t="s">
        <v>1555</v>
      </c>
      <c r="E107" s="540" t="s">
        <v>3688</v>
      </c>
      <c r="F107" s="540" t="s">
        <v>3689</v>
      </c>
      <c r="G107" s="555" t="s">
        <v>909</v>
      </c>
      <c r="H107" s="555" t="s">
        <v>2757</v>
      </c>
      <c r="I107" s="556" t="s">
        <v>1267</v>
      </c>
      <c r="J107" s="557" t="s">
        <v>2876</v>
      </c>
      <c r="K107" s="558" t="s">
        <v>2877</v>
      </c>
      <c r="L107" s="95"/>
      <c r="M107" s="104"/>
      <c r="N107" s="137">
        <v>2165556.14</v>
      </c>
      <c r="O107" s="138">
        <v>2130000</v>
      </c>
      <c r="P107" s="138">
        <v>2496000</v>
      </c>
      <c r="Q107" s="138">
        <v>2496000</v>
      </c>
      <c r="R107" s="138">
        <v>2496000</v>
      </c>
      <c r="S107" s="139">
        <v>2496000</v>
      </c>
      <c r="T107" s="322">
        <f t="shared" si="16"/>
        <v>330443.85999999987</v>
      </c>
      <c r="U107" s="140">
        <f t="shared" si="17"/>
        <v>0.15259076128130294</v>
      </c>
      <c r="V107" s="322">
        <f t="shared" si="13"/>
        <v>366000</v>
      </c>
      <c r="W107" s="140">
        <f t="shared" si="18"/>
        <v>0.17183098591549295</v>
      </c>
      <c r="X107" s="322">
        <f t="shared" si="19"/>
        <v>0</v>
      </c>
      <c r="Y107" s="140">
        <f t="shared" si="20"/>
        <v>0</v>
      </c>
      <c r="Z107" s="519">
        <v>1751815.51</v>
      </c>
      <c r="AA107" s="111">
        <f t="shared" si="14"/>
        <v>2335754.0133333332</v>
      </c>
      <c r="AB107" s="522">
        <f t="shared" si="15"/>
        <v>160245.98666666681</v>
      </c>
    </row>
    <row r="108" spans="1:28" ht="18" customHeight="1">
      <c r="A108" s="113" t="s">
        <v>1994</v>
      </c>
      <c r="B108" s="135" t="s">
        <v>2867</v>
      </c>
      <c r="C108" s="136" t="s">
        <v>3184</v>
      </c>
      <c r="D108" s="136" t="s">
        <v>3185</v>
      </c>
      <c r="E108" s="529" t="s">
        <v>1996</v>
      </c>
      <c r="F108" s="529" t="s">
        <v>1995</v>
      </c>
      <c r="G108" s="530"/>
      <c r="H108" s="530"/>
      <c r="I108" s="531"/>
      <c r="J108" s="532"/>
      <c r="K108" s="533"/>
      <c r="L108" s="95"/>
      <c r="M108" s="147"/>
      <c r="N108" s="137">
        <v>0</v>
      </c>
      <c r="O108" s="138">
        <v>0</v>
      </c>
      <c r="P108" s="138">
        <v>0</v>
      </c>
      <c r="Q108" s="138">
        <v>0</v>
      </c>
      <c r="R108" s="138">
        <v>0</v>
      </c>
      <c r="S108" s="139">
        <v>0</v>
      </c>
      <c r="T108" s="322">
        <f t="shared" si="16"/>
        <v>0</v>
      </c>
      <c r="U108" s="140" t="str">
        <f t="shared" si="17"/>
        <v/>
      </c>
      <c r="V108" s="322">
        <f t="shared" si="13"/>
        <v>0</v>
      </c>
      <c r="W108" s="140" t="str">
        <f t="shared" si="18"/>
        <v/>
      </c>
      <c r="X108" s="322">
        <f t="shared" si="19"/>
        <v>0</v>
      </c>
      <c r="Y108" s="140" t="str">
        <f t="shared" si="20"/>
        <v/>
      </c>
      <c r="Z108" s="519">
        <v>0</v>
      </c>
      <c r="AA108" s="111">
        <f t="shared" si="14"/>
        <v>0</v>
      </c>
      <c r="AB108" s="111">
        <f t="shared" si="15"/>
        <v>0</v>
      </c>
    </row>
    <row r="109" spans="1:28" ht="18" customHeight="1">
      <c r="A109" s="115" t="s">
        <v>1997</v>
      </c>
      <c r="B109" s="124" t="s">
        <v>2867</v>
      </c>
      <c r="C109" s="101" t="s">
        <v>3186</v>
      </c>
      <c r="D109" s="101" t="s">
        <v>3185</v>
      </c>
      <c r="E109" s="554" t="s">
        <v>1999</v>
      </c>
      <c r="F109" s="534" t="s">
        <v>1998</v>
      </c>
      <c r="G109" s="555"/>
      <c r="H109" s="555"/>
      <c r="I109" s="556"/>
      <c r="J109" s="557"/>
      <c r="K109" s="558"/>
      <c r="L109" s="95"/>
      <c r="M109" s="104"/>
      <c r="N109" s="137">
        <v>0</v>
      </c>
      <c r="O109" s="138">
        <v>0</v>
      </c>
      <c r="P109" s="138">
        <v>0</v>
      </c>
      <c r="Q109" s="138">
        <v>0</v>
      </c>
      <c r="R109" s="138">
        <v>0</v>
      </c>
      <c r="S109" s="139">
        <v>0</v>
      </c>
      <c r="T109" s="322">
        <f t="shared" si="16"/>
        <v>0</v>
      </c>
      <c r="U109" s="140" t="str">
        <f t="shared" si="17"/>
        <v/>
      </c>
      <c r="V109" s="322">
        <f t="shared" si="13"/>
        <v>0</v>
      </c>
      <c r="W109" s="140" t="str">
        <f t="shared" si="18"/>
        <v/>
      </c>
      <c r="X109" s="322">
        <f t="shared" si="19"/>
        <v>0</v>
      </c>
      <c r="Y109" s="140" t="str">
        <f t="shared" si="20"/>
        <v/>
      </c>
      <c r="Z109" s="519">
        <v>0</v>
      </c>
      <c r="AA109" s="111">
        <f t="shared" si="14"/>
        <v>0</v>
      </c>
      <c r="AB109" s="111">
        <f t="shared" si="15"/>
        <v>0</v>
      </c>
    </row>
    <row r="110" spans="1:28" ht="18" customHeight="1">
      <c r="A110" s="114" t="s">
        <v>2000</v>
      </c>
      <c r="B110" s="125" t="s">
        <v>2867</v>
      </c>
      <c r="C110" s="97" t="s">
        <v>3186</v>
      </c>
      <c r="D110" s="97" t="s">
        <v>3183</v>
      </c>
      <c r="E110" s="559" t="s">
        <v>1999</v>
      </c>
      <c r="F110" s="540" t="s">
        <v>1998</v>
      </c>
      <c r="G110" s="555" t="s">
        <v>893</v>
      </c>
      <c r="H110" s="555" t="s">
        <v>3452</v>
      </c>
      <c r="I110" s="556" t="s">
        <v>2001</v>
      </c>
      <c r="J110" s="557" t="s">
        <v>2876</v>
      </c>
      <c r="K110" s="558" t="s">
        <v>2877</v>
      </c>
      <c r="L110" s="95"/>
      <c r="M110" s="104"/>
      <c r="N110" s="137">
        <v>9328837.6400000006</v>
      </c>
      <c r="O110" s="138">
        <v>8858000</v>
      </c>
      <c r="P110" s="138">
        <v>9607000</v>
      </c>
      <c r="Q110" s="138">
        <v>9895000</v>
      </c>
      <c r="R110" s="138">
        <v>10192000</v>
      </c>
      <c r="S110" s="139">
        <v>10498000</v>
      </c>
      <c r="T110" s="322">
        <f t="shared" si="16"/>
        <v>566162.3599999994</v>
      </c>
      <c r="U110" s="140">
        <f t="shared" si="17"/>
        <v>6.0689485855388879E-2</v>
      </c>
      <c r="V110" s="322">
        <f t="shared" si="13"/>
        <v>1037000</v>
      </c>
      <c r="W110" s="140">
        <f t="shared" si="18"/>
        <v>0.11706931587265748</v>
      </c>
      <c r="X110" s="322">
        <f t="shared" si="19"/>
        <v>288000</v>
      </c>
      <c r="Y110" s="140">
        <f t="shared" si="20"/>
        <v>2.997814093889872E-2</v>
      </c>
      <c r="Z110" s="519">
        <v>7205386.3600000003</v>
      </c>
      <c r="AA110" s="111">
        <f t="shared" si="14"/>
        <v>9607181.8133333344</v>
      </c>
      <c r="AB110" s="111">
        <f t="shared" si="15"/>
        <v>-181.81333333440125</v>
      </c>
    </row>
    <row r="111" spans="1:28" ht="18" customHeight="1">
      <c r="A111" s="115" t="s">
        <v>2004</v>
      </c>
      <c r="B111" s="124" t="s">
        <v>2867</v>
      </c>
      <c r="C111" s="101" t="s">
        <v>3187</v>
      </c>
      <c r="D111" s="101" t="s">
        <v>3185</v>
      </c>
      <c r="E111" s="554" t="s">
        <v>2006</v>
      </c>
      <c r="F111" s="534" t="s">
        <v>2005</v>
      </c>
      <c r="G111" s="555"/>
      <c r="H111" s="555"/>
      <c r="I111" s="556"/>
      <c r="J111" s="557"/>
      <c r="K111" s="558"/>
      <c r="L111" s="95"/>
      <c r="M111" s="104"/>
      <c r="N111" s="137">
        <v>0</v>
      </c>
      <c r="O111" s="138">
        <v>0</v>
      </c>
      <c r="P111" s="138">
        <v>0</v>
      </c>
      <c r="Q111" s="138">
        <v>0</v>
      </c>
      <c r="R111" s="138">
        <v>0</v>
      </c>
      <c r="S111" s="139">
        <v>0</v>
      </c>
      <c r="T111" s="322">
        <f t="shared" si="16"/>
        <v>0</v>
      </c>
      <c r="U111" s="140" t="str">
        <f t="shared" si="17"/>
        <v/>
      </c>
      <c r="V111" s="322">
        <f t="shared" si="13"/>
        <v>0</v>
      </c>
      <c r="W111" s="140" t="str">
        <f t="shared" si="18"/>
        <v/>
      </c>
      <c r="X111" s="322">
        <f t="shared" si="19"/>
        <v>0</v>
      </c>
      <c r="Y111" s="140" t="str">
        <f t="shared" si="20"/>
        <v/>
      </c>
      <c r="Z111" s="519">
        <v>0</v>
      </c>
      <c r="AA111" s="111">
        <f t="shared" si="14"/>
        <v>0</v>
      </c>
      <c r="AB111" s="111">
        <f t="shared" si="15"/>
        <v>0</v>
      </c>
    </row>
    <row r="112" spans="1:28" ht="18" customHeight="1">
      <c r="A112" s="114" t="s">
        <v>2007</v>
      </c>
      <c r="B112" s="125" t="s">
        <v>2867</v>
      </c>
      <c r="C112" s="97" t="s">
        <v>3187</v>
      </c>
      <c r="D112" s="97" t="s">
        <v>3183</v>
      </c>
      <c r="E112" s="559" t="s">
        <v>2006</v>
      </c>
      <c r="F112" s="540" t="s">
        <v>2005</v>
      </c>
      <c r="G112" s="555" t="s">
        <v>895</v>
      </c>
      <c r="H112" s="555" t="s">
        <v>3453</v>
      </c>
      <c r="I112" s="556" t="s">
        <v>2008</v>
      </c>
      <c r="J112" s="557" t="s">
        <v>2876</v>
      </c>
      <c r="K112" s="558" t="s">
        <v>2877</v>
      </c>
      <c r="L112" s="95"/>
      <c r="M112" s="104"/>
      <c r="N112" s="137">
        <v>840205.39</v>
      </c>
      <c r="O112" s="138">
        <v>958000</v>
      </c>
      <c r="P112" s="138">
        <v>958000</v>
      </c>
      <c r="Q112" s="138">
        <v>987000</v>
      </c>
      <c r="R112" s="138">
        <v>1017000</v>
      </c>
      <c r="S112" s="139">
        <v>1048000</v>
      </c>
      <c r="T112" s="322">
        <f t="shared" si="16"/>
        <v>146794.60999999999</v>
      </c>
      <c r="U112" s="140">
        <f t="shared" si="17"/>
        <v>0.17471276874336641</v>
      </c>
      <c r="V112" s="322">
        <f t="shared" si="13"/>
        <v>29000</v>
      </c>
      <c r="W112" s="140">
        <f t="shared" si="18"/>
        <v>3.0271398747390398E-2</v>
      </c>
      <c r="X112" s="322">
        <f t="shared" si="19"/>
        <v>29000</v>
      </c>
      <c r="Y112" s="140">
        <f t="shared" si="20"/>
        <v>3.0271398747390398E-2</v>
      </c>
      <c r="Z112" s="519">
        <v>718946.64</v>
      </c>
      <c r="AA112" s="111">
        <f t="shared" si="14"/>
        <v>958595.52</v>
      </c>
      <c r="AB112" s="111">
        <f t="shared" si="15"/>
        <v>-595.52000000001863</v>
      </c>
    </row>
    <row r="113" spans="1:28" ht="18" customHeight="1">
      <c r="A113" s="115" t="s">
        <v>1284</v>
      </c>
      <c r="B113" s="124" t="s">
        <v>2867</v>
      </c>
      <c r="C113" s="101" t="s">
        <v>3189</v>
      </c>
      <c r="D113" s="101" t="s">
        <v>3185</v>
      </c>
      <c r="E113" s="554" t="s">
        <v>1286</v>
      </c>
      <c r="F113" s="534" t="s">
        <v>1285</v>
      </c>
      <c r="G113" s="555"/>
      <c r="H113" s="555"/>
      <c r="I113" s="556"/>
      <c r="J113" s="557"/>
      <c r="K113" s="558"/>
      <c r="L113" s="95"/>
      <c r="M113" s="104"/>
      <c r="N113" s="137">
        <v>0</v>
      </c>
      <c r="O113" s="138">
        <v>0</v>
      </c>
      <c r="P113" s="138">
        <v>0</v>
      </c>
      <c r="Q113" s="138">
        <v>0</v>
      </c>
      <c r="R113" s="138">
        <v>0</v>
      </c>
      <c r="S113" s="139">
        <v>0</v>
      </c>
      <c r="T113" s="322">
        <f t="shared" si="16"/>
        <v>0</v>
      </c>
      <c r="U113" s="140" t="str">
        <f t="shared" si="17"/>
        <v/>
      </c>
      <c r="V113" s="322">
        <f t="shared" si="13"/>
        <v>0</v>
      </c>
      <c r="W113" s="140" t="str">
        <f t="shared" si="18"/>
        <v/>
      </c>
      <c r="X113" s="322">
        <f t="shared" si="19"/>
        <v>0</v>
      </c>
      <c r="Y113" s="140" t="str">
        <f t="shared" si="20"/>
        <v/>
      </c>
      <c r="Z113" s="519">
        <v>0</v>
      </c>
      <c r="AA113" s="111">
        <f t="shared" si="14"/>
        <v>0</v>
      </c>
      <c r="AB113" s="111">
        <f t="shared" si="15"/>
        <v>0</v>
      </c>
    </row>
    <row r="114" spans="1:28" ht="18" customHeight="1">
      <c r="A114" s="114" t="s">
        <v>1287</v>
      </c>
      <c r="B114" s="125" t="s">
        <v>2867</v>
      </c>
      <c r="C114" s="97" t="s">
        <v>3189</v>
      </c>
      <c r="D114" s="97" t="s">
        <v>3183</v>
      </c>
      <c r="E114" s="559" t="s">
        <v>1286</v>
      </c>
      <c r="F114" s="540" t="s">
        <v>1285</v>
      </c>
      <c r="G114" s="555" t="s">
        <v>891</v>
      </c>
      <c r="H114" s="555" t="s">
        <v>3454</v>
      </c>
      <c r="I114" s="556" t="s">
        <v>1288</v>
      </c>
      <c r="J114" s="557" t="s">
        <v>2876</v>
      </c>
      <c r="K114" s="558" t="s">
        <v>2877</v>
      </c>
      <c r="L114" s="95"/>
      <c r="M114" s="104"/>
      <c r="N114" s="137">
        <v>1359533.02</v>
      </c>
      <c r="O114" s="138">
        <v>1162000</v>
      </c>
      <c r="P114" s="138">
        <f>1390000-433000</f>
        <v>957000</v>
      </c>
      <c r="Q114" s="138">
        <f>1404000-433000</f>
        <v>971000</v>
      </c>
      <c r="R114" s="138">
        <f>1418000-433000</f>
        <v>985000</v>
      </c>
      <c r="S114" s="139">
        <f>1432000-433000</f>
        <v>999000</v>
      </c>
      <c r="T114" s="322">
        <f t="shared" si="16"/>
        <v>-388533.02</v>
      </c>
      <c r="U114" s="140">
        <f t="shared" si="17"/>
        <v>-0.28578417315675053</v>
      </c>
      <c r="V114" s="322">
        <f t="shared" si="13"/>
        <v>-191000</v>
      </c>
      <c r="W114" s="140">
        <f t="shared" si="18"/>
        <v>-0.16437177280550774</v>
      </c>
      <c r="X114" s="322">
        <f t="shared" si="19"/>
        <v>14000</v>
      </c>
      <c r="Y114" s="140">
        <f t="shared" si="20"/>
        <v>1.4629049111807733E-2</v>
      </c>
      <c r="Z114" s="519">
        <v>718373.42999999993</v>
      </c>
      <c r="AA114" s="111">
        <f t="shared" si="14"/>
        <v>957831.23999999987</v>
      </c>
      <c r="AB114" s="522">
        <f t="shared" si="15"/>
        <v>-831.23999999987427</v>
      </c>
    </row>
    <row r="115" spans="1:28" ht="18" customHeight="1">
      <c r="A115" s="115" t="s">
        <v>1289</v>
      </c>
      <c r="B115" s="124" t="s">
        <v>2867</v>
      </c>
      <c r="C115" s="101" t="s">
        <v>3190</v>
      </c>
      <c r="D115" s="101" t="s">
        <v>3185</v>
      </c>
      <c r="E115" s="554" t="s">
        <v>1290</v>
      </c>
      <c r="F115" s="534" t="s">
        <v>1290</v>
      </c>
      <c r="G115" s="555"/>
      <c r="H115" s="555"/>
      <c r="I115" s="556"/>
      <c r="J115" s="557"/>
      <c r="K115" s="558"/>
      <c r="L115" s="95"/>
      <c r="M115" s="104"/>
      <c r="N115" s="137">
        <v>0</v>
      </c>
      <c r="O115" s="138">
        <v>0</v>
      </c>
      <c r="P115" s="138">
        <v>0</v>
      </c>
      <c r="Q115" s="138">
        <v>0</v>
      </c>
      <c r="R115" s="138">
        <v>0</v>
      </c>
      <c r="S115" s="139">
        <v>0</v>
      </c>
      <c r="T115" s="322">
        <f t="shared" si="16"/>
        <v>0</v>
      </c>
      <c r="U115" s="140" t="str">
        <f t="shared" si="17"/>
        <v/>
      </c>
      <c r="V115" s="322">
        <f t="shared" si="13"/>
        <v>0</v>
      </c>
      <c r="W115" s="140" t="str">
        <f t="shared" si="18"/>
        <v/>
      </c>
      <c r="X115" s="322">
        <f t="shared" si="19"/>
        <v>0</v>
      </c>
      <c r="Y115" s="140" t="str">
        <f t="shared" si="20"/>
        <v/>
      </c>
      <c r="Z115" s="519">
        <v>0</v>
      </c>
      <c r="AA115" s="111">
        <f t="shared" si="14"/>
        <v>0</v>
      </c>
      <c r="AB115" s="111">
        <f t="shared" si="15"/>
        <v>0</v>
      </c>
    </row>
    <row r="116" spans="1:28" ht="18" customHeight="1">
      <c r="A116" s="114" t="s">
        <v>1291</v>
      </c>
      <c r="B116" s="125" t="s">
        <v>2867</v>
      </c>
      <c r="C116" s="97" t="s">
        <v>3190</v>
      </c>
      <c r="D116" s="97" t="s">
        <v>3183</v>
      </c>
      <c r="E116" s="559" t="s">
        <v>1290</v>
      </c>
      <c r="F116" s="540" t="s">
        <v>1290</v>
      </c>
      <c r="G116" s="555" t="s">
        <v>891</v>
      </c>
      <c r="H116" s="555" t="s">
        <v>3454</v>
      </c>
      <c r="I116" s="556" t="s">
        <v>1288</v>
      </c>
      <c r="J116" s="557" t="s">
        <v>2876</v>
      </c>
      <c r="K116" s="558" t="s">
        <v>2877</v>
      </c>
      <c r="L116" s="95"/>
      <c r="M116" s="104"/>
      <c r="N116" s="137">
        <v>44324.69</v>
      </c>
      <c r="O116" s="138">
        <v>55000</v>
      </c>
      <c r="P116" s="138">
        <v>50000</v>
      </c>
      <c r="Q116" s="138">
        <v>51000</v>
      </c>
      <c r="R116" s="138">
        <v>52000</v>
      </c>
      <c r="S116" s="139">
        <v>53000</v>
      </c>
      <c r="T116" s="322">
        <f t="shared" si="16"/>
        <v>6675.3099999999977</v>
      </c>
      <c r="U116" s="140">
        <f t="shared" si="17"/>
        <v>0.15060026364538584</v>
      </c>
      <c r="V116" s="322">
        <f t="shared" si="13"/>
        <v>-4000</v>
      </c>
      <c r="W116" s="140">
        <f t="shared" si="18"/>
        <v>-7.2727272727272724E-2</v>
      </c>
      <c r="X116" s="322">
        <f t="shared" si="19"/>
        <v>1000</v>
      </c>
      <c r="Y116" s="140">
        <f t="shared" si="20"/>
        <v>0.02</v>
      </c>
      <c r="Z116" s="519">
        <v>37378.240000000005</v>
      </c>
      <c r="AA116" s="111">
        <f t="shared" si="14"/>
        <v>49837.653333333343</v>
      </c>
      <c r="AB116" s="111">
        <f t="shared" si="15"/>
        <v>162.34666666665726</v>
      </c>
    </row>
    <row r="117" spans="1:28" ht="18" customHeight="1">
      <c r="A117" s="509" t="s">
        <v>4942</v>
      </c>
      <c r="B117" s="308" t="s">
        <v>2867</v>
      </c>
      <c r="C117" s="307" t="s">
        <v>1263</v>
      </c>
      <c r="D117" s="307" t="s">
        <v>3185</v>
      </c>
      <c r="E117" s="560" t="s">
        <v>4943</v>
      </c>
      <c r="F117" s="560" t="s">
        <v>4944</v>
      </c>
      <c r="G117" s="548"/>
      <c r="H117" s="548"/>
      <c r="I117" s="549"/>
      <c r="J117" s="550"/>
      <c r="K117" s="551"/>
      <c r="L117" s="95"/>
      <c r="M117" s="104"/>
      <c r="N117" s="137">
        <v>0</v>
      </c>
      <c r="O117" s="138">
        <v>0</v>
      </c>
      <c r="P117" s="138">
        <v>0</v>
      </c>
      <c r="Q117" s="138">
        <v>0</v>
      </c>
      <c r="R117" s="138">
        <v>0</v>
      </c>
      <c r="S117" s="139">
        <v>0</v>
      </c>
      <c r="T117" s="322">
        <f t="shared" ref="T117:T118" si="23">IF(N117="","",Q117-N117)</f>
        <v>0</v>
      </c>
      <c r="U117" s="140" t="str">
        <f t="shared" ref="U117:U118" si="24">IF(N117=0,"",T117/N117)</f>
        <v/>
      </c>
      <c r="V117" s="322">
        <f t="shared" si="13"/>
        <v>0</v>
      </c>
      <c r="W117" s="140" t="str">
        <f t="shared" ref="W117:W118" si="25">IF(O117=0,"",V117/O117)</f>
        <v/>
      </c>
      <c r="X117" s="322">
        <f t="shared" ref="X117:X118" si="26">IF(P117="","",Q117-P117)</f>
        <v>0</v>
      </c>
      <c r="Y117" s="140" t="str">
        <f t="shared" ref="Y117:Y118" si="27">IF(P117=0,"",X117/P117)</f>
        <v/>
      </c>
      <c r="Z117" s="519">
        <v>0</v>
      </c>
      <c r="AA117" s="111">
        <f t="shared" si="14"/>
        <v>0</v>
      </c>
      <c r="AB117" s="111">
        <f t="shared" si="15"/>
        <v>0</v>
      </c>
    </row>
    <row r="118" spans="1:28" ht="18" customHeight="1">
      <c r="A118" s="510" t="s">
        <v>4945</v>
      </c>
      <c r="B118" s="305" t="s">
        <v>2867</v>
      </c>
      <c r="C118" s="306" t="s">
        <v>1263</v>
      </c>
      <c r="D118" s="306" t="s">
        <v>3183</v>
      </c>
      <c r="E118" s="561" t="s">
        <v>4943</v>
      </c>
      <c r="F118" s="561" t="s">
        <v>4944</v>
      </c>
      <c r="G118" s="548" t="s">
        <v>895</v>
      </c>
      <c r="H118" s="548" t="s">
        <v>3453</v>
      </c>
      <c r="I118" s="549" t="s">
        <v>2008</v>
      </c>
      <c r="J118" s="550" t="s">
        <v>2876</v>
      </c>
      <c r="K118" s="551" t="s">
        <v>2877</v>
      </c>
      <c r="L118" s="95"/>
      <c r="M118" s="104"/>
      <c r="N118" s="137">
        <v>0</v>
      </c>
      <c r="O118" s="138">
        <v>0</v>
      </c>
      <c r="P118" s="138">
        <v>433000</v>
      </c>
      <c r="Q118" s="138">
        <v>433000</v>
      </c>
      <c r="R118" s="138">
        <v>433000</v>
      </c>
      <c r="S118" s="139">
        <v>433000</v>
      </c>
      <c r="T118" s="322">
        <f t="shared" si="23"/>
        <v>433000</v>
      </c>
      <c r="U118" s="140" t="str">
        <f t="shared" si="24"/>
        <v/>
      </c>
      <c r="V118" s="322">
        <f t="shared" si="13"/>
        <v>433000</v>
      </c>
      <c r="W118" s="140" t="str">
        <f t="shared" si="25"/>
        <v/>
      </c>
      <c r="X118" s="322">
        <f t="shared" si="26"/>
        <v>0</v>
      </c>
      <c r="Y118" s="140">
        <f t="shared" si="27"/>
        <v>0</v>
      </c>
      <c r="Z118" s="519">
        <v>325100.25</v>
      </c>
      <c r="AA118" s="111">
        <f t="shared" si="14"/>
        <v>433467</v>
      </c>
      <c r="AB118" s="522">
        <f t="shared" si="15"/>
        <v>-467</v>
      </c>
    </row>
    <row r="119" spans="1:28" ht="18" customHeight="1">
      <c r="A119" s="115" t="s">
        <v>1292</v>
      </c>
      <c r="B119" s="124" t="s">
        <v>2867</v>
      </c>
      <c r="C119" s="101" t="s">
        <v>3191</v>
      </c>
      <c r="D119" s="101" t="s">
        <v>3185</v>
      </c>
      <c r="E119" s="554" t="s">
        <v>1294</v>
      </c>
      <c r="F119" s="534" t="s">
        <v>1293</v>
      </c>
      <c r="G119" s="555"/>
      <c r="H119" s="555"/>
      <c r="I119" s="556"/>
      <c r="J119" s="557"/>
      <c r="K119" s="558"/>
      <c r="L119" s="95"/>
      <c r="M119" s="104"/>
      <c r="N119" s="137">
        <v>0</v>
      </c>
      <c r="O119" s="138">
        <v>0</v>
      </c>
      <c r="P119" s="138">
        <v>0</v>
      </c>
      <c r="Q119" s="138">
        <v>0</v>
      </c>
      <c r="R119" s="138">
        <v>0</v>
      </c>
      <c r="S119" s="139">
        <v>0</v>
      </c>
      <c r="T119" s="322">
        <f t="shared" si="16"/>
        <v>0</v>
      </c>
      <c r="U119" s="140" t="str">
        <f t="shared" si="17"/>
        <v/>
      </c>
      <c r="V119" s="322">
        <f t="shared" si="13"/>
        <v>0</v>
      </c>
      <c r="W119" s="140" t="str">
        <f t="shared" si="18"/>
        <v/>
      </c>
      <c r="X119" s="322">
        <f t="shared" si="19"/>
        <v>0</v>
      </c>
      <c r="Y119" s="140" t="str">
        <f t="shared" si="20"/>
        <v/>
      </c>
      <c r="Z119" s="519">
        <v>0</v>
      </c>
      <c r="AA119" s="111">
        <f t="shared" si="14"/>
        <v>0</v>
      </c>
      <c r="AB119" s="111">
        <f t="shared" si="15"/>
        <v>0</v>
      </c>
    </row>
    <row r="120" spans="1:28" ht="18" customHeight="1">
      <c r="A120" s="114" t="s">
        <v>1295</v>
      </c>
      <c r="B120" s="125" t="s">
        <v>2867</v>
      </c>
      <c r="C120" s="97" t="s">
        <v>3191</v>
      </c>
      <c r="D120" s="97" t="s">
        <v>3183</v>
      </c>
      <c r="E120" s="559" t="s">
        <v>1294</v>
      </c>
      <c r="F120" s="540" t="s">
        <v>1293</v>
      </c>
      <c r="G120" s="555" t="s">
        <v>895</v>
      </c>
      <c r="H120" s="555" t="s">
        <v>3453</v>
      </c>
      <c r="I120" s="556" t="s">
        <v>2008</v>
      </c>
      <c r="J120" s="557" t="s">
        <v>2876</v>
      </c>
      <c r="K120" s="558" t="s">
        <v>2877</v>
      </c>
      <c r="L120" s="95"/>
      <c r="M120" s="104"/>
      <c r="N120" s="137">
        <v>4727.41</v>
      </c>
      <c r="O120" s="138">
        <v>6000</v>
      </c>
      <c r="P120" s="138">
        <v>6000</v>
      </c>
      <c r="Q120" s="138">
        <v>6000</v>
      </c>
      <c r="R120" s="138">
        <v>6000</v>
      </c>
      <c r="S120" s="139">
        <v>6000</v>
      </c>
      <c r="T120" s="322">
        <f t="shared" si="16"/>
        <v>1272.5900000000001</v>
      </c>
      <c r="U120" s="140">
        <f t="shared" si="17"/>
        <v>0.26919391379211877</v>
      </c>
      <c r="V120" s="322">
        <f t="shared" si="13"/>
        <v>0</v>
      </c>
      <c r="W120" s="140">
        <f t="shared" si="18"/>
        <v>0</v>
      </c>
      <c r="X120" s="322">
        <f t="shared" si="19"/>
        <v>0</v>
      </c>
      <c r="Y120" s="140">
        <f t="shared" si="20"/>
        <v>0</v>
      </c>
      <c r="Z120" s="519">
        <v>4500.8</v>
      </c>
      <c r="AA120" s="111">
        <f t="shared" si="14"/>
        <v>6001.0666666666666</v>
      </c>
      <c r="AB120" s="111">
        <f t="shared" si="15"/>
        <v>-1.066666666666606</v>
      </c>
    </row>
    <row r="121" spans="1:28" ht="18" customHeight="1">
      <c r="A121" s="115" t="s">
        <v>1296</v>
      </c>
      <c r="B121" s="124" t="s">
        <v>2867</v>
      </c>
      <c r="C121" s="101" t="s">
        <v>3194</v>
      </c>
      <c r="D121" s="101" t="s">
        <v>3185</v>
      </c>
      <c r="E121" s="554" t="s">
        <v>2009</v>
      </c>
      <c r="F121" s="534" t="s">
        <v>1297</v>
      </c>
      <c r="G121" s="555"/>
      <c r="H121" s="555"/>
      <c r="I121" s="556"/>
      <c r="J121" s="557"/>
      <c r="K121" s="558"/>
      <c r="L121" s="95"/>
      <c r="M121" s="104"/>
      <c r="N121" s="137">
        <v>0</v>
      </c>
      <c r="O121" s="138">
        <v>0</v>
      </c>
      <c r="P121" s="138">
        <v>0</v>
      </c>
      <c r="Q121" s="138">
        <v>0</v>
      </c>
      <c r="R121" s="138">
        <v>0</v>
      </c>
      <c r="S121" s="139">
        <v>0</v>
      </c>
      <c r="T121" s="322">
        <f t="shared" si="16"/>
        <v>0</v>
      </c>
      <c r="U121" s="140" t="str">
        <f t="shared" si="17"/>
        <v/>
      </c>
      <c r="V121" s="322">
        <f t="shared" si="13"/>
        <v>0</v>
      </c>
      <c r="W121" s="140" t="str">
        <f t="shared" si="18"/>
        <v/>
      </c>
      <c r="X121" s="322">
        <f t="shared" si="19"/>
        <v>0</v>
      </c>
      <c r="Y121" s="140" t="str">
        <f t="shared" si="20"/>
        <v/>
      </c>
      <c r="Z121" s="519">
        <v>0</v>
      </c>
      <c r="AA121" s="111">
        <f t="shared" si="14"/>
        <v>0</v>
      </c>
      <c r="AB121" s="111">
        <f t="shared" si="15"/>
        <v>0</v>
      </c>
    </row>
    <row r="122" spans="1:28" ht="18" customHeight="1">
      <c r="A122" s="114" t="s">
        <v>2010</v>
      </c>
      <c r="B122" s="125" t="s">
        <v>2867</v>
      </c>
      <c r="C122" s="97" t="s">
        <v>3194</v>
      </c>
      <c r="D122" s="97" t="s">
        <v>3183</v>
      </c>
      <c r="E122" s="559" t="s">
        <v>2009</v>
      </c>
      <c r="F122" s="540" t="s">
        <v>1297</v>
      </c>
      <c r="G122" s="555" t="s">
        <v>895</v>
      </c>
      <c r="H122" s="555" t="s">
        <v>3453</v>
      </c>
      <c r="I122" s="556" t="s">
        <v>2008</v>
      </c>
      <c r="J122" s="557" t="s">
        <v>2876</v>
      </c>
      <c r="K122" s="558" t="s">
        <v>2877</v>
      </c>
      <c r="L122" s="95"/>
      <c r="M122" s="104"/>
      <c r="N122" s="137">
        <v>61673.93</v>
      </c>
      <c r="O122" s="138">
        <v>65000</v>
      </c>
      <c r="P122" s="138">
        <v>65000</v>
      </c>
      <c r="Q122" s="138">
        <v>65000</v>
      </c>
      <c r="R122" s="138">
        <v>65000</v>
      </c>
      <c r="S122" s="139">
        <v>65000</v>
      </c>
      <c r="T122" s="322">
        <f t="shared" si="16"/>
        <v>3326.0699999999997</v>
      </c>
      <c r="U122" s="140">
        <f t="shared" si="17"/>
        <v>5.3929918200445466E-2</v>
      </c>
      <c r="V122" s="322">
        <f t="shared" si="13"/>
        <v>0</v>
      </c>
      <c r="W122" s="140">
        <f t="shared" si="18"/>
        <v>0</v>
      </c>
      <c r="X122" s="322">
        <f t="shared" si="19"/>
        <v>0</v>
      </c>
      <c r="Y122" s="140">
        <f t="shared" si="20"/>
        <v>0</v>
      </c>
      <c r="Z122" s="519">
        <v>49194.23</v>
      </c>
      <c r="AA122" s="111">
        <f t="shared" si="14"/>
        <v>65592.306666666671</v>
      </c>
      <c r="AB122" s="111">
        <f t="shared" si="15"/>
        <v>-592.30666666667094</v>
      </c>
    </row>
    <row r="123" spans="1:28" ht="18" customHeight="1">
      <c r="A123" s="115" t="s">
        <v>2011</v>
      </c>
      <c r="B123" s="124" t="s">
        <v>2867</v>
      </c>
      <c r="C123" s="101" t="s">
        <v>2139</v>
      </c>
      <c r="D123" s="101" t="s">
        <v>3185</v>
      </c>
      <c r="E123" s="554" t="s">
        <v>2013</v>
      </c>
      <c r="F123" s="534" t="s">
        <v>2012</v>
      </c>
      <c r="G123" s="555"/>
      <c r="H123" s="555"/>
      <c r="I123" s="556"/>
      <c r="J123" s="557"/>
      <c r="K123" s="558"/>
      <c r="L123" s="95"/>
      <c r="M123" s="104"/>
      <c r="N123" s="137">
        <v>0</v>
      </c>
      <c r="O123" s="138">
        <v>0</v>
      </c>
      <c r="P123" s="138">
        <v>0</v>
      </c>
      <c r="Q123" s="138">
        <v>0</v>
      </c>
      <c r="R123" s="138">
        <v>0</v>
      </c>
      <c r="S123" s="139">
        <v>0</v>
      </c>
      <c r="T123" s="322">
        <f t="shared" si="16"/>
        <v>0</v>
      </c>
      <c r="U123" s="140" t="str">
        <f t="shared" si="17"/>
        <v/>
      </c>
      <c r="V123" s="322">
        <f t="shared" si="13"/>
        <v>0</v>
      </c>
      <c r="W123" s="140" t="str">
        <f t="shared" si="18"/>
        <v/>
      </c>
      <c r="X123" s="322">
        <f t="shared" si="19"/>
        <v>0</v>
      </c>
      <c r="Y123" s="140" t="str">
        <f t="shared" si="20"/>
        <v/>
      </c>
      <c r="Z123" s="519">
        <v>0</v>
      </c>
      <c r="AA123" s="111">
        <f t="shared" si="14"/>
        <v>0</v>
      </c>
      <c r="AB123" s="111">
        <f t="shared" si="15"/>
        <v>0</v>
      </c>
    </row>
    <row r="124" spans="1:28" ht="18" customHeight="1">
      <c r="A124" s="114" t="s">
        <v>2014</v>
      </c>
      <c r="B124" s="125" t="s">
        <v>2867</v>
      </c>
      <c r="C124" s="97" t="s">
        <v>2139</v>
      </c>
      <c r="D124" s="97" t="s">
        <v>3183</v>
      </c>
      <c r="E124" s="559" t="s">
        <v>2013</v>
      </c>
      <c r="F124" s="540" t="s">
        <v>2012</v>
      </c>
      <c r="G124" s="555" t="s">
        <v>895</v>
      </c>
      <c r="H124" s="555" t="s">
        <v>3453</v>
      </c>
      <c r="I124" s="556" t="s">
        <v>2008</v>
      </c>
      <c r="J124" s="557" t="s">
        <v>2876</v>
      </c>
      <c r="K124" s="558" t="s">
        <v>2877</v>
      </c>
      <c r="L124" s="95"/>
      <c r="M124" s="104"/>
      <c r="N124" s="137">
        <v>40894.42</v>
      </c>
      <c r="O124" s="138">
        <v>35000</v>
      </c>
      <c r="P124" s="138">
        <v>60000</v>
      </c>
      <c r="Q124" s="138">
        <v>61000</v>
      </c>
      <c r="R124" s="138">
        <v>62000</v>
      </c>
      <c r="S124" s="139">
        <v>63000</v>
      </c>
      <c r="T124" s="322">
        <f t="shared" si="16"/>
        <v>20105.580000000002</v>
      </c>
      <c r="U124" s="140">
        <f t="shared" si="17"/>
        <v>0.49164604853180466</v>
      </c>
      <c r="V124" s="322">
        <f t="shared" si="13"/>
        <v>26000</v>
      </c>
      <c r="W124" s="140">
        <f t="shared" si="18"/>
        <v>0.74285714285714288</v>
      </c>
      <c r="X124" s="322">
        <f t="shared" si="19"/>
        <v>1000</v>
      </c>
      <c r="Y124" s="140">
        <f t="shared" si="20"/>
        <v>1.6666666666666666E-2</v>
      </c>
      <c r="Z124" s="519">
        <v>45081.599999999999</v>
      </c>
      <c r="AA124" s="111">
        <f t="shared" si="14"/>
        <v>60108.799999999996</v>
      </c>
      <c r="AB124" s="111">
        <f t="shared" si="15"/>
        <v>-108.79999999999563</v>
      </c>
    </row>
    <row r="125" spans="1:28" ht="26.25" customHeight="1">
      <c r="A125" s="113" t="s">
        <v>2015</v>
      </c>
      <c r="B125" s="135" t="s">
        <v>1253</v>
      </c>
      <c r="C125" s="136" t="s">
        <v>3184</v>
      </c>
      <c r="D125" s="136" t="s">
        <v>3185</v>
      </c>
      <c r="E125" s="529" t="s">
        <v>4382</v>
      </c>
      <c r="F125" s="529" t="s">
        <v>5273</v>
      </c>
      <c r="G125" s="530"/>
      <c r="H125" s="530"/>
      <c r="I125" s="531"/>
      <c r="J125" s="532"/>
      <c r="K125" s="533"/>
      <c r="L125" s="95"/>
      <c r="M125" s="147"/>
      <c r="N125" s="137">
        <v>0</v>
      </c>
      <c r="O125" s="138">
        <v>0</v>
      </c>
      <c r="P125" s="138">
        <v>0</v>
      </c>
      <c r="Q125" s="138">
        <v>0</v>
      </c>
      <c r="R125" s="138">
        <v>0</v>
      </c>
      <c r="S125" s="139">
        <v>0</v>
      </c>
      <c r="T125" s="322">
        <f t="shared" si="16"/>
        <v>0</v>
      </c>
      <c r="U125" s="140" t="str">
        <f t="shared" si="17"/>
        <v/>
      </c>
      <c r="V125" s="322">
        <f t="shared" si="13"/>
        <v>0</v>
      </c>
      <c r="W125" s="140" t="str">
        <f t="shared" si="18"/>
        <v/>
      </c>
      <c r="X125" s="322">
        <f t="shared" si="19"/>
        <v>0</v>
      </c>
      <c r="Y125" s="140" t="str">
        <f t="shared" si="20"/>
        <v/>
      </c>
      <c r="Z125" s="519">
        <v>0</v>
      </c>
      <c r="AA125" s="111">
        <f t="shared" si="14"/>
        <v>0</v>
      </c>
      <c r="AB125" s="111">
        <f t="shared" si="15"/>
        <v>0</v>
      </c>
    </row>
    <row r="126" spans="1:28" ht="26.25" customHeight="1">
      <c r="A126" s="115" t="s">
        <v>2016</v>
      </c>
      <c r="B126" s="124" t="s">
        <v>1253</v>
      </c>
      <c r="C126" s="101" t="s">
        <v>3186</v>
      </c>
      <c r="D126" s="101" t="s">
        <v>3185</v>
      </c>
      <c r="E126" s="554" t="s">
        <v>2018</v>
      </c>
      <c r="F126" s="534" t="s">
        <v>2017</v>
      </c>
      <c r="G126" s="555"/>
      <c r="H126" s="555"/>
      <c r="I126" s="556"/>
      <c r="J126" s="557"/>
      <c r="K126" s="558"/>
      <c r="L126" s="95"/>
      <c r="M126" s="104"/>
      <c r="N126" s="137">
        <v>0</v>
      </c>
      <c r="O126" s="138">
        <v>0</v>
      </c>
      <c r="P126" s="138">
        <v>0</v>
      </c>
      <c r="Q126" s="138">
        <v>0</v>
      </c>
      <c r="R126" s="138">
        <v>0</v>
      </c>
      <c r="S126" s="139">
        <v>0</v>
      </c>
      <c r="T126" s="322">
        <f t="shared" si="16"/>
        <v>0</v>
      </c>
      <c r="U126" s="140" t="str">
        <f t="shared" si="17"/>
        <v/>
      </c>
      <c r="V126" s="322">
        <f t="shared" si="13"/>
        <v>0</v>
      </c>
      <c r="W126" s="140" t="str">
        <f t="shared" si="18"/>
        <v/>
      </c>
      <c r="X126" s="322">
        <f t="shared" si="19"/>
        <v>0</v>
      </c>
      <c r="Y126" s="140" t="str">
        <f t="shared" si="20"/>
        <v/>
      </c>
      <c r="Z126" s="519">
        <v>0</v>
      </c>
      <c r="AA126" s="111">
        <f t="shared" si="14"/>
        <v>0</v>
      </c>
      <c r="AB126" s="111">
        <f t="shared" si="15"/>
        <v>0</v>
      </c>
    </row>
    <row r="127" spans="1:28" ht="26.25" customHeight="1">
      <c r="A127" s="114" t="s">
        <v>2019</v>
      </c>
      <c r="B127" s="125" t="s">
        <v>1253</v>
      </c>
      <c r="C127" s="97" t="s">
        <v>3186</v>
      </c>
      <c r="D127" s="97" t="s">
        <v>3183</v>
      </c>
      <c r="E127" s="559" t="s">
        <v>2021</v>
      </c>
      <c r="F127" s="540" t="s">
        <v>2020</v>
      </c>
      <c r="G127" s="555" t="s">
        <v>1743</v>
      </c>
      <c r="H127" s="555" t="s">
        <v>2022</v>
      </c>
      <c r="I127" s="556" t="s">
        <v>3455</v>
      </c>
      <c r="J127" s="557" t="s">
        <v>2133</v>
      </c>
      <c r="K127" s="558" t="s">
        <v>3579</v>
      </c>
      <c r="L127" s="95"/>
      <c r="M127" s="104"/>
      <c r="N127" s="137">
        <v>38693312.509999998</v>
      </c>
      <c r="O127" s="138">
        <v>40450000</v>
      </c>
      <c r="P127" s="138">
        <v>40510000</v>
      </c>
      <c r="Q127" s="138">
        <v>40710000</v>
      </c>
      <c r="R127" s="138">
        <v>40710000</v>
      </c>
      <c r="S127" s="138">
        <v>40710000</v>
      </c>
      <c r="T127" s="322">
        <f t="shared" si="16"/>
        <v>2016687.4900000021</v>
      </c>
      <c r="U127" s="140">
        <f t="shared" si="17"/>
        <v>5.2119794330836994E-2</v>
      </c>
      <c r="V127" s="322">
        <f t="shared" si="13"/>
        <v>260000</v>
      </c>
      <c r="W127" s="140">
        <f t="shared" si="18"/>
        <v>6.4276885043263289E-3</v>
      </c>
      <c r="X127" s="322">
        <f t="shared" si="19"/>
        <v>200000</v>
      </c>
      <c r="Y127" s="140">
        <f t="shared" si="20"/>
        <v>4.9370525796099728E-3</v>
      </c>
      <c r="Z127" s="519">
        <v>30382538.600000001</v>
      </c>
      <c r="AA127" s="111">
        <f t="shared" si="14"/>
        <v>40510051.466666669</v>
      </c>
      <c r="AB127" s="111">
        <f t="shared" si="15"/>
        <v>-51.466666668653488</v>
      </c>
    </row>
    <row r="128" spans="1:28" ht="26.25" customHeight="1">
      <c r="A128" s="114" t="s">
        <v>2025</v>
      </c>
      <c r="B128" s="125" t="s">
        <v>1253</v>
      </c>
      <c r="C128" s="97" t="s">
        <v>3186</v>
      </c>
      <c r="D128" s="97" t="s">
        <v>3193</v>
      </c>
      <c r="E128" s="559" t="s">
        <v>2027</v>
      </c>
      <c r="F128" s="540" t="s">
        <v>2026</v>
      </c>
      <c r="G128" s="555" t="s">
        <v>1743</v>
      </c>
      <c r="H128" s="555" t="s">
        <v>2022</v>
      </c>
      <c r="I128" s="556" t="s">
        <v>3455</v>
      </c>
      <c r="J128" s="557" t="s">
        <v>2133</v>
      </c>
      <c r="K128" s="558" t="s">
        <v>3579</v>
      </c>
      <c r="L128" s="95"/>
      <c r="M128" s="104"/>
      <c r="N128" s="137">
        <v>3922735.33</v>
      </c>
      <c r="O128" s="138">
        <v>4248000</v>
      </c>
      <c r="P128" s="138">
        <v>4248000</v>
      </c>
      <c r="Q128" s="138">
        <v>4248000</v>
      </c>
      <c r="R128" s="138">
        <v>4248000</v>
      </c>
      <c r="S128" s="139">
        <v>4248000</v>
      </c>
      <c r="T128" s="322">
        <f t="shared" si="16"/>
        <v>325264.66999999993</v>
      </c>
      <c r="U128" s="140">
        <f t="shared" si="17"/>
        <v>8.2917822039245234E-2</v>
      </c>
      <c r="V128" s="322">
        <f t="shared" si="13"/>
        <v>0</v>
      </c>
      <c r="W128" s="140">
        <f t="shared" si="18"/>
        <v>0</v>
      </c>
      <c r="X128" s="322">
        <f t="shared" si="19"/>
        <v>0</v>
      </c>
      <c r="Y128" s="140">
        <f t="shared" si="20"/>
        <v>0</v>
      </c>
      <c r="Z128" s="519">
        <v>3185989.6</v>
      </c>
      <c r="AA128" s="111">
        <f t="shared" si="14"/>
        <v>4247986.1333333338</v>
      </c>
      <c r="AB128" s="111">
        <f t="shared" si="15"/>
        <v>13.866666666232049</v>
      </c>
    </row>
    <row r="129" spans="1:28" ht="26.25" customHeight="1">
      <c r="A129" s="114" t="s">
        <v>2028</v>
      </c>
      <c r="B129" s="125" t="s">
        <v>1253</v>
      </c>
      <c r="C129" s="97" t="s">
        <v>3186</v>
      </c>
      <c r="D129" s="97" t="s">
        <v>2631</v>
      </c>
      <c r="E129" s="559" t="s">
        <v>2030</v>
      </c>
      <c r="F129" s="540" t="s">
        <v>2029</v>
      </c>
      <c r="G129" s="555" t="s">
        <v>1743</v>
      </c>
      <c r="H129" s="555" t="s">
        <v>2022</v>
      </c>
      <c r="I129" s="556" t="s">
        <v>3455</v>
      </c>
      <c r="J129" s="557" t="s">
        <v>2133</v>
      </c>
      <c r="K129" s="558" t="s">
        <v>3579</v>
      </c>
      <c r="L129" s="95"/>
      <c r="M129" s="104"/>
      <c r="N129" s="137">
        <v>120478.91</v>
      </c>
      <c r="O129" s="138">
        <v>140000</v>
      </c>
      <c r="P129" s="138">
        <v>140000</v>
      </c>
      <c r="Q129" s="138">
        <v>140000</v>
      </c>
      <c r="R129" s="138">
        <v>140000</v>
      </c>
      <c r="S129" s="139">
        <v>140000</v>
      </c>
      <c r="T129" s="322">
        <f t="shared" si="16"/>
        <v>19521.089999999997</v>
      </c>
      <c r="U129" s="140">
        <f t="shared" si="17"/>
        <v>0.16202910534300149</v>
      </c>
      <c r="V129" s="322">
        <f t="shared" si="13"/>
        <v>0</v>
      </c>
      <c r="W129" s="140">
        <f t="shared" si="18"/>
        <v>0</v>
      </c>
      <c r="X129" s="322">
        <f t="shared" si="19"/>
        <v>0</v>
      </c>
      <c r="Y129" s="140">
        <f t="shared" si="20"/>
        <v>0</v>
      </c>
      <c r="Z129" s="519">
        <v>104658.31</v>
      </c>
      <c r="AA129" s="111">
        <f t="shared" si="14"/>
        <v>139544.41333333333</v>
      </c>
      <c r="AB129" s="111">
        <f t="shared" si="15"/>
        <v>455.58666666666977</v>
      </c>
    </row>
    <row r="130" spans="1:28" ht="17.25" customHeight="1">
      <c r="A130" s="115" t="s">
        <v>2031</v>
      </c>
      <c r="B130" s="124" t="s">
        <v>1253</v>
      </c>
      <c r="C130" s="101" t="s">
        <v>3187</v>
      </c>
      <c r="D130" s="101" t="s">
        <v>3185</v>
      </c>
      <c r="E130" s="554" t="s">
        <v>2032</v>
      </c>
      <c r="F130" s="534" t="s">
        <v>5274</v>
      </c>
      <c r="G130" s="555"/>
      <c r="H130" s="555"/>
      <c r="I130" s="556"/>
      <c r="J130" s="557"/>
      <c r="K130" s="558"/>
      <c r="L130" s="95"/>
      <c r="M130" s="104"/>
      <c r="N130" s="137">
        <v>0</v>
      </c>
      <c r="O130" s="138">
        <v>0</v>
      </c>
      <c r="P130" s="138">
        <v>0</v>
      </c>
      <c r="Q130" s="138">
        <v>0</v>
      </c>
      <c r="R130" s="138">
        <v>0</v>
      </c>
      <c r="S130" s="139">
        <v>0</v>
      </c>
      <c r="T130" s="322">
        <f t="shared" si="16"/>
        <v>0</v>
      </c>
      <c r="U130" s="140" t="str">
        <f t="shared" si="17"/>
        <v/>
      </c>
      <c r="V130" s="322">
        <f t="shared" si="13"/>
        <v>0</v>
      </c>
      <c r="W130" s="140" t="str">
        <f t="shared" si="18"/>
        <v/>
      </c>
      <c r="X130" s="322">
        <f t="shared" si="19"/>
        <v>0</v>
      </c>
      <c r="Y130" s="140" t="str">
        <f t="shared" si="20"/>
        <v/>
      </c>
      <c r="Z130" s="519">
        <v>0</v>
      </c>
      <c r="AA130" s="111">
        <f t="shared" si="14"/>
        <v>0</v>
      </c>
      <c r="AB130" s="111">
        <f t="shared" si="15"/>
        <v>0</v>
      </c>
    </row>
    <row r="131" spans="1:28" ht="26.25" customHeight="1">
      <c r="A131" s="114" t="s">
        <v>2033</v>
      </c>
      <c r="B131" s="125" t="s">
        <v>1253</v>
      </c>
      <c r="C131" s="97" t="s">
        <v>3187</v>
      </c>
      <c r="D131" s="97" t="s">
        <v>3183</v>
      </c>
      <c r="E131" s="559" t="s">
        <v>2034</v>
      </c>
      <c r="F131" s="540" t="s">
        <v>5275</v>
      </c>
      <c r="G131" s="555" t="s">
        <v>1745</v>
      </c>
      <c r="H131" s="555" t="s">
        <v>2035</v>
      </c>
      <c r="I131" s="562" t="s">
        <v>3456</v>
      </c>
      <c r="J131" s="557" t="s">
        <v>2133</v>
      </c>
      <c r="K131" s="558" t="s">
        <v>3579</v>
      </c>
      <c r="L131" s="95"/>
      <c r="M131" s="104"/>
      <c r="N131" s="137">
        <v>11174291.17</v>
      </c>
      <c r="O131" s="138">
        <v>11330000</v>
      </c>
      <c r="P131" s="138">
        <v>11330000</v>
      </c>
      <c r="Q131" s="138">
        <v>11330000</v>
      </c>
      <c r="R131" s="138">
        <v>11330000</v>
      </c>
      <c r="S131" s="139">
        <v>11330000</v>
      </c>
      <c r="T131" s="322">
        <f t="shared" si="16"/>
        <v>155708.83000000007</v>
      </c>
      <c r="U131" s="140">
        <f t="shared" si="17"/>
        <v>1.3934559931464545E-2</v>
      </c>
      <c r="V131" s="322">
        <f t="shared" si="13"/>
        <v>0</v>
      </c>
      <c r="W131" s="140">
        <f t="shared" si="18"/>
        <v>0</v>
      </c>
      <c r="X131" s="322">
        <f t="shared" si="19"/>
        <v>0</v>
      </c>
      <c r="Y131" s="140">
        <f t="shared" si="20"/>
        <v>0</v>
      </c>
      <c r="Z131" s="519">
        <v>8497290.6799999997</v>
      </c>
      <c r="AA131" s="111">
        <f t="shared" si="14"/>
        <v>11329720.906666666</v>
      </c>
      <c r="AB131" s="111">
        <f t="shared" si="15"/>
        <v>279.0933333337307</v>
      </c>
    </row>
    <row r="132" spans="1:28" ht="26.25" customHeight="1">
      <c r="A132" s="114" t="s">
        <v>2036</v>
      </c>
      <c r="B132" s="125" t="s">
        <v>1253</v>
      </c>
      <c r="C132" s="97" t="s">
        <v>3187</v>
      </c>
      <c r="D132" s="97" t="s">
        <v>3193</v>
      </c>
      <c r="E132" s="559" t="s">
        <v>2037</v>
      </c>
      <c r="F132" s="540" t="s">
        <v>5276</v>
      </c>
      <c r="G132" s="555" t="s">
        <v>1745</v>
      </c>
      <c r="H132" s="555" t="s">
        <v>2035</v>
      </c>
      <c r="I132" s="562" t="s">
        <v>3456</v>
      </c>
      <c r="J132" s="557" t="s">
        <v>2133</v>
      </c>
      <c r="K132" s="558" t="s">
        <v>3579</v>
      </c>
      <c r="L132" s="95"/>
      <c r="M132" s="104"/>
      <c r="N132" s="137">
        <v>967779.8</v>
      </c>
      <c r="O132" s="138">
        <v>1082000</v>
      </c>
      <c r="P132" s="138">
        <v>1082000</v>
      </c>
      <c r="Q132" s="138">
        <v>1082000</v>
      </c>
      <c r="R132" s="138">
        <v>1082000</v>
      </c>
      <c r="S132" s="139">
        <v>1082000</v>
      </c>
      <c r="T132" s="322">
        <f t="shared" si="16"/>
        <v>114220.19999999995</v>
      </c>
      <c r="U132" s="140">
        <f t="shared" si="17"/>
        <v>0.1180229221564657</v>
      </c>
      <c r="V132" s="322">
        <f t="shared" si="13"/>
        <v>0</v>
      </c>
      <c r="W132" s="140">
        <f t="shared" si="18"/>
        <v>0</v>
      </c>
      <c r="X132" s="322">
        <f t="shared" si="19"/>
        <v>0</v>
      </c>
      <c r="Y132" s="140">
        <f t="shared" si="20"/>
        <v>0</v>
      </c>
      <c r="Z132" s="519">
        <v>811469.46</v>
      </c>
      <c r="AA132" s="111">
        <f t="shared" si="14"/>
        <v>1081959.28</v>
      </c>
      <c r="AB132" s="111">
        <f t="shared" si="15"/>
        <v>40.71999999997206</v>
      </c>
    </row>
    <row r="133" spans="1:28" ht="26.25" customHeight="1">
      <c r="A133" s="115" t="s">
        <v>2570</v>
      </c>
      <c r="B133" s="124" t="s">
        <v>1253</v>
      </c>
      <c r="C133" s="101" t="s">
        <v>3189</v>
      </c>
      <c r="D133" s="101" t="s">
        <v>3185</v>
      </c>
      <c r="E133" s="554" t="s">
        <v>2571</v>
      </c>
      <c r="F133" s="534" t="s">
        <v>5277</v>
      </c>
      <c r="G133" s="555"/>
      <c r="H133" s="555"/>
      <c r="I133" s="556"/>
      <c r="J133" s="557"/>
      <c r="K133" s="558"/>
      <c r="L133" s="95"/>
      <c r="M133" s="104"/>
      <c r="N133" s="137">
        <v>0</v>
      </c>
      <c r="O133" s="138">
        <v>0</v>
      </c>
      <c r="P133" s="138">
        <v>0</v>
      </c>
      <c r="Q133" s="138">
        <v>0</v>
      </c>
      <c r="R133" s="138">
        <v>0</v>
      </c>
      <c r="S133" s="139">
        <v>0</v>
      </c>
      <c r="T133" s="322">
        <f t="shared" si="16"/>
        <v>0</v>
      </c>
      <c r="U133" s="140" t="str">
        <f t="shared" si="17"/>
        <v/>
      </c>
      <c r="V133" s="322">
        <f t="shared" si="13"/>
        <v>0</v>
      </c>
      <c r="W133" s="140" t="str">
        <f t="shared" si="18"/>
        <v/>
      </c>
      <c r="X133" s="322">
        <f t="shared" si="19"/>
        <v>0</v>
      </c>
      <c r="Y133" s="140" t="str">
        <f t="shared" si="20"/>
        <v/>
      </c>
      <c r="Z133" s="519">
        <v>0</v>
      </c>
      <c r="AA133" s="111">
        <f t="shared" si="14"/>
        <v>0</v>
      </c>
      <c r="AB133" s="111">
        <f t="shared" si="15"/>
        <v>0</v>
      </c>
    </row>
    <row r="134" spans="1:28" ht="26.25" customHeight="1">
      <c r="A134" s="114" t="s">
        <v>2572</v>
      </c>
      <c r="B134" s="125" t="s">
        <v>1253</v>
      </c>
      <c r="C134" s="97" t="s">
        <v>3189</v>
      </c>
      <c r="D134" s="97" t="s">
        <v>3183</v>
      </c>
      <c r="E134" s="559" t="s">
        <v>2573</v>
      </c>
      <c r="F134" s="540" t="s">
        <v>5278</v>
      </c>
      <c r="G134" s="555" t="s">
        <v>1747</v>
      </c>
      <c r="H134" s="555" t="s">
        <v>3457</v>
      </c>
      <c r="I134" s="556" t="s">
        <v>3458</v>
      </c>
      <c r="J134" s="557" t="s">
        <v>2133</v>
      </c>
      <c r="K134" s="558" t="s">
        <v>3579</v>
      </c>
      <c r="L134" s="95"/>
      <c r="M134" s="104"/>
      <c r="N134" s="137">
        <v>6587025.2300000004</v>
      </c>
      <c r="O134" s="138">
        <v>6720000</v>
      </c>
      <c r="P134" s="138">
        <v>6800000</v>
      </c>
      <c r="Q134" s="138">
        <v>6900000</v>
      </c>
      <c r="R134" s="138">
        <v>6900000</v>
      </c>
      <c r="S134" s="139">
        <v>6900000</v>
      </c>
      <c r="T134" s="322">
        <f t="shared" si="16"/>
        <v>312974.76999999955</v>
      </c>
      <c r="U134" s="140">
        <f t="shared" si="17"/>
        <v>4.7513825903472293E-2</v>
      </c>
      <c r="V134" s="322">
        <f t="shared" si="13"/>
        <v>180000</v>
      </c>
      <c r="W134" s="140">
        <f t="shared" si="18"/>
        <v>2.6785714285714284E-2</v>
      </c>
      <c r="X134" s="322">
        <f t="shared" si="19"/>
        <v>100000</v>
      </c>
      <c r="Y134" s="140">
        <f t="shared" si="20"/>
        <v>1.4705882352941176E-2</v>
      </c>
      <c r="Z134" s="519">
        <v>5144391.92</v>
      </c>
      <c r="AA134" s="111">
        <f t="shared" si="14"/>
        <v>6859189.2266666666</v>
      </c>
      <c r="AB134" s="522">
        <f t="shared" si="15"/>
        <v>-59189.226666666567</v>
      </c>
    </row>
    <row r="135" spans="1:28" ht="26.25" customHeight="1">
      <c r="A135" s="114" t="s">
        <v>2574</v>
      </c>
      <c r="B135" s="125" t="s">
        <v>1253</v>
      </c>
      <c r="C135" s="97" t="s">
        <v>3189</v>
      </c>
      <c r="D135" s="97" t="s">
        <v>3193</v>
      </c>
      <c r="E135" s="559" t="s">
        <v>2575</v>
      </c>
      <c r="F135" s="540" t="s">
        <v>5984</v>
      </c>
      <c r="G135" s="555" t="s">
        <v>1747</v>
      </c>
      <c r="H135" s="555" t="s">
        <v>3457</v>
      </c>
      <c r="I135" s="556" t="s">
        <v>3458</v>
      </c>
      <c r="J135" s="557" t="s">
        <v>2133</v>
      </c>
      <c r="K135" s="558" t="s">
        <v>3579</v>
      </c>
      <c r="L135" s="95"/>
      <c r="M135" s="104"/>
      <c r="N135" s="137">
        <v>669143.47</v>
      </c>
      <c r="O135" s="138">
        <v>690000</v>
      </c>
      <c r="P135" s="138">
        <v>700000</v>
      </c>
      <c r="Q135" s="138">
        <v>700000</v>
      </c>
      <c r="R135" s="138">
        <v>700000</v>
      </c>
      <c r="S135" s="139">
        <v>700000</v>
      </c>
      <c r="T135" s="322">
        <f t="shared" si="16"/>
        <v>30856.530000000028</v>
      </c>
      <c r="U135" s="140">
        <f t="shared" si="17"/>
        <v>4.6113473990861825E-2</v>
      </c>
      <c r="V135" s="322">
        <f t="shared" si="13"/>
        <v>10000</v>
      </c>
      <c r="W135" s="140">
        <f t="shared" si="18"/>
        <v>1.4492753623188406E-2</v>
      </c>
      <c r="X135" s="322">
        <f t="shared" si="19"/>
        <v>0</v>
      </c>
      <c r="Y135" s="140">
        <f t="shared" si="20"/>
        <v>0</v>
      </c>
      <c r="Z135" s="519">
        <v>524717.64</v>
      </c>
      <c r="AA135" s="111">
        <f t="shared" si="14"/>
        <v>699623.52</v>
      </c>
      <c r="AB135" s="111">
        <f t="shared" si="15"/>
        <v>376.47999999998137</v>
      </c>
    </row>
    <row r="136" spans="1:28" ht="26.25" customHeight="1">
      <c r="A136" s="116" t="s">
        <v>2576</v>
      </c>
      <c r="B136" s="126" t="s">
        <v>1253</v>
      </c>
      <c r="C136" s="98" t="s">
        <v>3189</v>
      </c>
      <c r="D136" s="98" t="s">
        <v>2631</v>
      </c>
      <c r="E136" s="559" t="s">
        <v>2577</v>
      </c>
      <c r="F136" s="540" t="s">
        <v>5985</v>
      </c>
      <c r="G136" s="555" t="s">
        <v>1747</v>
      </c>
      <c r="H136" s="555" t="s">
        <v>3457</v>
      </c>
      <c r="I136" s="556" t="s">
        <v>3458</v>
      </c>
      <c r="J136" s="557" t="s">
        <v>2133</v>
      </c>
      <c r="K136" s="558" t="s">
        <v>3579</v>
      </c>
      <c r="L136" s="95"/>
      <c r="M136" s="104"/>
      <c r="N136" s="137">
        <v>44893.59</v>
      </c>
      <c r="O136" s="138">
        <v>45000</v>
      </c>
      <c r="P136" s="138">
        <v>45000</v>
      </c>
      <c r="Q136" s="138">
        <v>45000</v>
      </c>
      <c r="R136" s="138">
        <v>45000</v>
      </c>
      <c r="S136" s="139">
        <v>45000</v>
      </c>
      <c r="T136" s="322">
        <f t="shared" si="16"/>
        <v>106.41000000000349</v>
      </c>
      <c r="U136" s="140">
        <f t="shared" si="17"/>
        <v>2.3702715688365197E-3</v>
      </c>
      <c r="V136" s="322">
        <f t="shared" si="13"/>
        <v>0</v>
      </c>
      <c r="W136" s="140">
        <f t="shared" si="18"/>
        <v>0</v>
      </c>
      <c r="X136" s="322">
        <f t="shared" si="19"/>
        <v>0</v>
      </c>
      <c r="Y136" s="140">
        <f t="shared" si="20"/>
        <v>0</v>
      </c>
      <c r="Z136" s="519">
        <v>33752.520000000004</v>
      </c>
      <c r="AA136" s="111">
        <f t="shared" si="14"/>
        <v>45003.360000000008</v>
      </c>
      <c r="AB136" s="111">
        <f t="shared" si="15"/>
        <v>-3.360000000007858</v>
      </c>
    </row>
    <row r="137" spans="1:28" ht="26.25" customHeight="1">
      <c r="A137" s="115" t="s">
        <v>2578</v>
      </c>
      <c r="B137" s="124" t="s">
        <v>1253</v>
      </c>
      <c r="C137" s="101" t="s">
        <v>3190</v>
      </c>
      <c r="D137" s="101" t="s">
        <v>3185</v>
      </c>
      <c r="E137" s="554" t="s">
        <v>2580</v>
      </c>
      <c r="F137" s="534" t="s">
        <v>2579</v>
      </c>
      <c r="G137" s="555"/>
      <c r="H137" s="555"/>
      <c r="I137" s="556"/>
      <c r="J137" s="557"/>
      <c r="K137" s="558"/>
      <c r="L137" s="95"/>
      <c r="M137" s="104"/>
      <c r="N137" s="137">
        <v>0</v>
      </c>
      <c r="O137" s="138">
        <v>0</v>
      </c>
      <c r="P137" s="138">
        <v>0</v>
      </c>
      <c r="Q137" s="138">
        <v>0</v>
      </c>
      <c r="R137" s="138">
        <v>0</v>
      </c>
      <c r="S137" s="139">
        <v>0</v>
      </c>
      <c r="T137" s="322">
        <f t="shared" si="16"/>
        <v>0</v>
      </c>
      <c r="U137" s="140" t="str">
        <f t="shared" si="17"/>
        <v/>
      </c>
      <c r="V137" s="322">
        <f t="shared" ref="V137:V200" si="28">IF(O137="","",Q137-O137)</f>
        <v>0</v>
      </c>
      <c r="W137" s="140" t="str">
        <f t="shared" si="18"/>
        <v/>
      </c>
      <c r="X137" s="322">
        <f t="shared" si="19"/>
        <v>0</v>
      </c>
      <c r="Y137" s="140" t="str">
        <f t="shared" si="20"/>
        <v/>
      </c>
      <c r="Z137" s="519">
        <v>0</v>
      </c>
      <c r="AA137" s="111">
        <f t="shared" ref="AA137:AA200" si="29">Z137/3*4</f>
        <v>0</v>
      </c>
      <c r="AB137" s="111">
        <f t="shared" ref="AB137:AB200" si="30">P137-AA137</f>
        <v>0</v>
      </c>
    </row>
    <row r="138" spans="1:28" ht="26.25" customHeight="1">
      <c r="A138" s="114" t="s">
        <v>2581</v>
      </c>
      <c r="B138" s="125" t="s">
        <v>1253</v>
      </c>
      <c r="C138" s="97" t="s">
        <v>3190</v>
      </c>
      <c r="D138" s="97" t="s">
        <v>3183</v>
      </c>
      <c r="E138" s="559" t="s">
        <v>2583</v>
      </c>
      <c r="F138" s="540" t="s">
        <v>2582</v>
      </c>
      <c r="G138" s="555" t="s">
        <v>1747</v>
      </c>
      <c r="H138" s="555" t="s">
        <v>3457</v>
      </c>
      <c r="I138" s="556" t="s">
        <v>3458</v>
      </c>
      <c r="J138" s="557" t="s">
        <v>2133</v>
      </c>
      <c r="K138" s="558" t="s">
        <v>3579</v>
      </c>
      <c r="L138" s="95"/>
      <c r="M138" s="104"/>
      <c r="N138" s="137">
        <v>40035.15</v>
      </c>
      <c r="O138" s="138">
        <v>34000</v>
      </c>
      <c r="P138" s="138">
        <v>40000</v>
      </c>
      <c r="Q138" s="138">
        <v>40000</v>
      </c>
      <c r="R138" s="138">
        <v>40000</v>
      </c>
      <c r="S138" s="139">
        <v>40000</v>
      </c>
      <c r="T138" s="322">
        <f t="shared" si="16"/>
        <v>-35.150000000001455</v>
      </c>
      <c r="U138" s="140">
        <f t="shared" si="17"/>
        <v>-8.7797847641388769E-4</v>
      </c>
      <c r="V138" s="322">
        <f t="shared" si="28"/>
        <v>6000</v>
      </c>
      <c r="W138" s="140">
        <f t="shared" si="18"/>
        <v>0.17647058823529413</v>
      </c>
      <c r="X138" s="322">
        <f t="shared" si="19"/>
        <v>0</v>
      </c>
      <c r="Y138" s="140">
        <f t="shared" si="20"/>
        <v>0</v>
      </c>
      <c r="Z138" s="519">
        <v>29956.46</v>
      </c>
      <c r="AA138" s="111">
        <f t="shared" si="29"/>
        <v>39941.946666666663</v>
      </c>
      <c r="AB138" s="111">
        <f t="shared" si="30"/>
        <v>58.053333333336923</v>
      </c>
    </row>
    <row r="139" spans="1:28" ht="26.25" customHeight="1">
      <c r="A139" s="114" t="s">
        <v>2584</v>
      </c>
      <c r="B139" s="125" t="s">
        <v>1253</v>
      </c>
      <c r="C139" s="97" t="s">
        <v>3190</v>
      </c>
      <c r="D139" s="97" t="s">
        <v>3193</v>
      </c>
      <c r="E139" s="559" t="s">
        <v>2586</v>
      </c>
      <c r="F139" s="540" t="s">
        <v>2585</v>
      </c>
      <c r="G139" s="555" t="s">
        <v>1747</v>
      </c>
      <c r="H139" s="555" t="s">
        <v>3457</v>
      </c>
      <c r="I139" s="556" t="s">
        <v>3458</v>
      </c>
      <c r="J139" s="557" t="s">
        <v>2133</v>
      </c>
      <c r="K139" s="558" t="s">
        <v>3579</v>
      </c>
      <c r="L139" s="95"/>
      <c r="M139" s="104"/>
      <c r="N139" s="137">
        <v>0</v>
      </c>
      <c r="O139" s="138">
        <v>0</v>
      </c>
      <c r="P139" s="138">
        <v>0</v>
      </c>
      <c r="Q139" s="138">
        <v>0</v>
      </c>
      <c r="R139" s="138">
        <v>0</v>
      </c>
      <c r="S139" s="139">
        <v>0</v>
      </c>
      <c r="T139" s="322">
        <f t="shared" si="16"/>
        <v>0</v>
      </c>
      <c r="U139" s="140" t="str">
        <f t="shared" si="17"/>
        <v/>
      </c>
      <c r="V139" s="322">
        <f t="shared" si="28"/>
        <v>0</v>
      </c>
      <c r="W139" s="140" t="str">
        <f t="shared" si="18"/>
        <v/>
      </c>
      <c r="X139" s="322">
        <f t="shared" si="19"/>
        <v>0</v>
      </c>
      <c r="Y139" s="140" t="str">
        <f t="shared" si="20"/>
        <v/>
      </c>
      <c r="Z139" s="519">
        <v>0</v>
      </c>
      <c r="AA139" s="111">
        <f t="shared" si="29"/>
        <v>0</v>
      </c>
      <c r="AB139" s="111">
        <f t="shared" si="30"/>
        <v>0</v>
      </c>
    </row>
    <row r="140" spans="1:28" ht="26.25" customHeight="1">
      <c r="A140" s="114" t="s">
        <v>2587</v>
      </c>
      <c r="B140" s="125" t="s">
        <v>1253</v>
      </c>
      <c r="C140" s="97" t="s">
        <v>3190</v>
      </c>
      <c r="D140" s="97" t="s">
        <v>2631</v>
      </c>
      <c r="E140" s="559" t="s">
        <v>2589</v>
      </c>
      <c r="F140" s="540" t="s">
        <v>2588</v>
      </c>
      <c r="G140" s="555" t="s">
        <v>1747</v>
      </c>
      <c r="H140" s="555" t="s">
        <v>3457</v>
      </c>
      <c r="I140" s="556" t="s">
        <v>3458</v>
      </c>
      <c r="J140" s="557" t="s">
        <v>2133</v>
      </c>
      <c r="K140" s="558" t="s">
        <v>3579</v>
      </c>
      <c r="L140" s="95"/>
      <c r="M140" s="104"/>
      <c r="N140" s="137">
        <v>0</v>
      </c>
      <c r="O140" s="138">
        <v>0</v>
      </c>
      <c r="P140" s="138">
        <v>0</v>
      </c>
      <c r="Q140" s="138">
        <v>0</v>
      </c>
      <c r="R140" s="138">
        <v>0</v>
      </c>
      <c r="S140" s="139">
        <v>0</v>
      </c>
      <c r="T140" s="322">
        <f t="shared" si="16"/>
        <v>0</v>
      </c>
      <c r="U140" s="140" t="str">
        <f t="shared" si="17"/>
        <v/>
      </c>
      <c r="V140" s="322">
        <f t="shared" si="28"/>
        <v>0</v>
      </c>
      <c r="W140" s="140" t="str">
        <f t="shared" si="18"/>
        <v/>
      </c>
      <c r="X140" s="322">
        <f t="shared" si="19"/>
        <v>0</v>
      </c>
      <c r="Y140" s="140" t="str">
        <f t="shared" si="20"/>
        <v/>
      </c>
      <c r="Z140" s="519">
        <v>0</v>
      </c>
      <c r="AA140" s="111">
        <f t="shared" si="29"/>
        <v>0</v>
      </c>
      <c r="AB140" s="111">
        <f t="shared" si="30"/>
        <v>0</v>
      </c>
    </row>
    <row r="141" spans="1:28" ht="26.25" customHeight="1">
      <c r="A141" s="117" t="s">
        <v>2590</v>
      </c>
      <c r="B141" s="127" t="s">
        <v>1253</v>
      </c>
      <c r="C141" s="99" t="s">
        <v>2139</v>
      </c>
      <c r="D141" s="99" t="s">
        <v>3185</v>
      </c>
      <c r="E141" s="534" t="s">
        <v>2591</v>
      </c>
      <c r="F141" s="534" t="s">
        <v>2593</v>
      </c>
      <c r="G141" s="555"/>
      <c r="H141" s="555"/>
      <c r="I141" s="556"/>
      <c r="J141" s="557"/>
      <c r="K141" s="558"/>
      <c r="L141" s="95"/>
      <c r="M141" s="104"/>
      <c r="N141" s="137">
        <v>0</v>
      </c>
      <c r="O141" s="138">
        <v>0</v>
      </c>
      <c r="P141" s="138">
        <v>0</v>
      </c>
      <c r="Q141" s="138">
        <v>0</v>
      </c>
      <c r="R141" s="138">
        <v>0</v>
      </c>
      <c r="S141" s="139">
        <v>0</v>
      </c>
      <c r="T141" s="322">
        <f t="shared" ref="T141:T216" si="31">IF(N141="","",Q141-N141)</f>
        <v>0</v>
      </c>
      <c r="U141" s="140" t="str">
        <f t="shared" ref="U141:U216" si="32">IF(N141=0,"",T141/N141)</f>
        <v/>
      </c>
      <c r="V141" s="322">
        <f t="shared" si="28"/>
        <v>0</v>
      </c>
      <c r="W141" s="140" t="str">
        <f t="shared" ref="W141:W216" si="33">IF(O141=0,"",V141/O141)</f>
        <v/>
      </c>
      <c r="X141" s="322">
        <f t="shared" ref="X141:X216" si="34">IF(P141="","",Q141-P141)</f>
        <v>0</v>
      </c>
      <c r="Y141" s="140" t="str">
        <f t="shared" ref="Y141:Y216" si="35">IF(P141=0,"",X141/P141)</f>
        <v/>
      </c>
      <c r="Z141" s="519">
        <v>0</v>
      </c>
      <c r="AA141" s="111">
        <f t="shared" si="29"/>
        <v>0</v>
      </c>
      <c r="AB141" s="111">
        <f t="shared" si="30"/>
        <v>0</v>
      </c>
    </row>
    <row r="142" spans="1:28" ht="26.25" customHeight="1">
      <c r="A142" s="116" t="s">
        <v>2592</v>
      </c>
      <c r="B142" s="126" t="s">
        <v>1253</v>
      </c>
      <c r="C142" s="98" t="s">
        <v>2139</v>
      </c>
      <c r="D142" s="98" t="s">
        <v>3183</v>
      </c>
      <c r="E142" s="540" t="s">
        <v>2591</v>
      </c>
      <c r="F142" s="540" t="s">
        <v>2593</v>
      </c>
      <c r="G142" s="555" t="s">
        <v>1749</v>
      </c>
      <c r="H142" s="555" t="s">
        <v>2594</v>
      </c>
      <c r="I142" s="556" t="s">
        <v>2595</v>
      </c>
      <c r="J142" s="557" t="s">
        <v>2133</v>
      </c>
      <c r="K142" s="558" t="s">
        <v>3579</v>
      </c>
      <c r="L142" s="95"/>
      <c r="M142" s="104"/>
      <c r="N142" s="137">
        <v>500868.1</v>
      </c>
      <c r="O142" s="138">
        <v>460000</v>
      </c>
      <c r="P142" s="138">
        <v>499000</v>
      </c>
      <c r="Q142" s="138">
        <v>460000</v>
      </c>
      <c r="R142" s="138">
        <v>460000</v>
      </c>
      <c r="S142" s="139">
        <v>460000</v>
      </c>
      <c r="T142" s="322">
        <f t="shared" si="31"/>
        <v>-40868.099999999977</v>
      </c>
      <c r="U142" s="140">
        <f t="shared" si="32"/>
        <v>-8.1594535567347928E-2</v>
      </c>
      <c r="V142" s="322">
        <f t="shared" si="28"/>
        <v>0</v>
      </c>
      <c r="W142" s="140">
        <f t="shared" si="33"/>
        <v>0</v>
      </c>
      <c r="X142" s="322">
        <f t="shared" si="34"/>
        <v>-39000</v>
      </c>
      <c r="Y142" s="140">
        <f t="shared" si="35"/>
        <v>-7.8156312625250496E-2</v>
      </c>
      <c r="Z142" s="519">
        <v>373925.38</v>
      </c>
      <c r="AA142" s="111">
        <f t="shared" si="29"/>
        <v>498567.17333333334</v>
      </c>
      <c r="AB142" s="111">
        <f t="shared" si="30"/>
        <v>432.82666666666046</v>
      </c>
    </row>
    <row r="143" spans="1:28" ht="42">
      <c r="A143" s="116" t="s">
        <v>3459</v>
      </c>
      <c r="B143" s="126" t="s">
        <v>1253</v>
      </c>
      <c r="C143" s="98" t="s">
        <v>2139</v>
      </c>
      <c r="D143" s="98" t="s">
        <v>3193</v>
      </c>
      <c r="E143" s="540" t="s">
        <v>4579</v>
      </c>
      <c r="F143" s="540" t="s">
        <v>4580</v>
      </c>
      <c r="G143" s="555" t="s">
        <v>1753</v>
      </c>
      <c r="H143" s="555" t="s">
        <v>3460</v>
      </c>
      <c r="I143" s="556" t="s">
        <v>3461</v>
      </c>
      <c r="J143" s="557" t="s">
        <v>2133</v>
      </c>
      <c r="K143" s="558" t="s">
        <v>3579</v>
      </c>
      <c r="L143" s="95"/>
      <c r="M143" s="104"/>
      <c r="N143" s="361">
        <v>149000</v>
      </c>
      <c r="O143" s="318">
        <v>149000</v>
      </c>
      <c r="P143" s="318">
        <v>148000</v>
      </c>
      <c r="Q143" s="318">
        <v>165000</v>
      </c>
      <c r="R143" s="318">
        <v>165000</v>
      </c>
      <c r="S143" s="319">
        <v>165000</v>
      </c>
      <c r="T143" s="322">
        <f t="shared" si="31"/>
        <v>16000</v>
      </c>
      <c r="U143" s="140">
        <f t="shared" si="32"/>
        <v>0.10738255033557047</v>
      </c>
      <c r="V143" s="322">
        <f t="shared" si="28"/>
        <v>16000</v>
      </c>
      <c r="W143" s="140">
        <f t="shared" si="33"/>
        <v>0.10738255033557047</v>
      </c>
      <c r="X143" s="322">
        <f t="shared" si="34"/>
        <v>17000</v>
      </c>
      <c r="Y143" s="140">
        <f t="shared" si="35"/>
        <v>0.11486486486486487</v>
      </c>
      <c r="Z143" s="519">
        <v>112000</v>
      </c>
      <c r="AA143" s="111">
        <f t="shared" si="29"/>
        <v>149333.33333333334</v>
      </c>
      <c r="AB143" s="111">
        <f t="shared" si="30"/>
        <v>-1333.333333333343</v>
      </c>
    </row>
    <row r="144" spans="1:28" ht="26.25" customHeight="1">
      <c r="A144" s="113" t="s">
        <v>2596</v>
      </c>
      <c r="B144" s="135" t="s">
        <v>2597</v>
      </c>
      <c r="C144" s="136" t="s">
        <v>3184</v>
      </c>
      <c r="D144" s="136" t="s">
        <v>3185</v>
      </c>
      <c r="E144" s="529" t="s">
        <v>4383</v>
      </c>
      <c r="F144" s="529" t="s">
        <v>5604</v>
      </c>
      <c r="G144" s="530"/>
      <c r="H144" s="530"/>
      <c r="I144" s="531"/>
      <c r="J144" s="532"/>
      <c r="K144" s="533"/>
      <c r="L144" s="95"/>
      <c r="M144" s="147"/>
      <c r="N144" s="137">
        <v>0</v>
      </c>
      <c r="O144" s="138">
        <v>0</v>
      </c>
      <c r="P144" s="138">
        <v>0</v>
      </c>
      <c r="Q144" s="138">
        <v>0</v>
      </c>
      <c r="R144" s="138">
        <v>0</v>
      </c>
      <c r="S144" s="139">
        <v>0</v>
      </c>
      <c r="T144" s="322">
        <f t="shared" si="31"/>
        <v>0</v>
      </c>
      <c r="U144" s="140" t="str">
        <f t="shared" si="32"/>
        <v/>
      </c>
      <c r="V144" s="322">
        <f t="shared" si="28"/>
        <v>0</v>
      </c>
      <c r="W144" s="140" t="str">
        <f t="shared" si="33"/>
        <v/>
      </c>
      <c r="X144" s="322">
        <f t="shared" si="34"/>
        <v>0</v>
      </c>
      <c r="Y144" s="140" t="str">
        <f t="shared" si="35"/>
        <v/>
      </c>
      <c r="Z144" s="519">
        <v>0</v>
      </c>
      <c r="AA144" s="111">
        <f t="shared" si="29"/>
        <v>0</v>
      </c>
      <c r="AB144" s="111">
        <f t="shared" si="30"/>
        <v>0</v>
      </c>
    </row>
    <row r="145" spans="1:28" ht="26.25" customHeight="1">
      <c r="A145" s="115" t="s">
        <v>2600</v>
      </c>
      <c r="B145" s="124" t="s">
        <v>2597</v>
      </c>
      <c r="C145" s="101" t="s">
        <v>3186</v>
      </c>
      <c r="D145" s="101" t="s">
        <v>3185</v>
      </c>
      <c r="E145" s="554" t="s">
        <v>2599</v>
      </c>
      <c r="F145" s="534" t="s">
        <v>2598</v>
      </c>
      <c r="G145" s="555"/>
      <c r="H145" s="555"/>
      <c r="I145" s="556"/>
      <c r="J145" s="557"/>
      <c r="K145" s="558"/>
      <c r="L145" s="95"/>
      <c r="M145" s="104"/>
      <c r="N145" s="137">
        <v>0</v>
      </c>
      <c r="O145" s="138">
        <v>0</v>
      </c>
      <c r="P145" s="138">
        <v>0</v>
      </c>
      <c r="Q145" s="138">
        <v>0</v>
      </c>
      <c r="R145" s="138">
        <v>0</v>
      </c>
      <c r="S145" s="139">
        <v>0</v>
      </c>
      <c r="T145" s="322">
        <f t="shared" si="31"/>
        <v>0</v>
      </c>
      <c r="U145" s="140" t="str">
        <f t="shared" si="32"/>
        <v/>
      </c>
      <c r="V145" s="322">
        <f t="shared" si="28"/>
        <v>0</v>
      </c>
      <c r="W145" s="140" t="str">
        <f t="shared" si="33"/>
        <v/>
      </c>
      <c r="X145" s="322">
        <f t="shared" si="34"/>
        <v>0</v>
      </c>
      <c r="Y145" s="140" t="str">
        <f t="shared" si="35"/>
        <v/>
      </c>
      <c r="Z145" s="519">
        <v>0</v>
      </c>
      <c r="AA145" s="111">
        <f t="shared" si="29"/>
        <v>0</v>
      </c>
      <c r="AB145" s="111">
        <f t="shared" si="30"/>
        <v>0</v>
      </c>
    </row>
    <row r="146" spans="1:28" ht="26.25" customHeight="1">
      <c r="A146" s="114" t="s">
        <v>2601</v>
      </c>
      <c r="B146" s="125" t="s">
        <v>2597</v>
      </c>
      <c r="C146" s="97" t="s">
        <v>3186</v>
      </c>
      <c r="D146" s="97" t="s">
        <v>3183</v>
      </c>
      <c r="E146" s="559" t="s">
        <v>3766</v>
      </c>
      <c r="F146" s="540" t="s">
        <v>3767</v>
      </c>
      <c r="G146" s="555" t="s">
        <v>1337</v>
      </c>
      <c r="H146" s="555" t="s">
        <v>3462</v>
      </c>
      <c r="I146" s="556" t="s">
        <v>2602</v>
      </c>
      <c r="J146" s="557" t="s">
        <v>1376</v>
      </c>
      <c r="K146" s="558" t="s">
        <v>3580</v>
      </c>
      <c r="L146" s="95"/>
      <c r="M146" s="104"/>
      <c r="N146" s="137">
        <v>43732511.090000004</v>
      </c>
      <c r="O146" s="138">
        <v>44600000</v>
      </c>
      <c r="P146" s="138">
        <v>43000000</v>
      </c>
      <c r="Q146" s="138">
        <v>43000000</v>
      </c>
      <c r="R146" s="138">
        <v>43500000</v>
      </c>
      <c r="S146" s="138">
        <v>43500000</v>
      </c>
      <c r="T146" s="322">
        <f t="shared" si="31"/>
        <v>-732511.09000000358</v>
      </c>
      <c r="U146" s="140">
        <f t="shared" si="32"/>
        <v>-1.6749806305256996E-2</v>
      </c>
      <c r="V146" s="322">
        <f t="shared" si="28"/>
        <v>-1600000</v>
      </c>
      <c r="W146" s="140">
        <f t="shared" si="33"/>
        <v>-3.5874439461883408E-2</v>
      </c>
      <c r="X146" s="322">
        <f t="shared" si="34"/>
        <v>0</v>
      </c>
      <c r="Y146" s="140">
        <f t="shared" si="35"/>
        <v>0</v>
      </c>
      <c r="Z146" s="519">
        <v>32159817.399999999</v>
      </c>
      <c r="AA146" s="111">
        <f t="shared" si="29"/>
        <v>42879756.533333331</v>
      </c>
      <c r="AB146" s="522">
        <f t="shared" si="30"/>
        <v>120243.46666666865</v>
      </c>
    </row>
    <row r="147" spans="1:28" ht="26.25" customHeight="1">
      <c r="A147" s="114" t="s">
        <v>2605</v>
      </c>
      <c r="B147" s="125" t="s">
        <v>2597</v>
      </c>
      <c r="C147" s="97" t="s">
        <v>3186</v>
      </c>
      <c r="D147" s="97" t="s">
        <v>3193</v>
      </c>
      <c r="E147" s="559" t="s">
        <v>3768</v>
      </c>
      <c r="F147" s="540" t="s">
        <v>3769</v>
      </c>
      <c r="G147" s="555" t="s">
        <v>1337</v>
      </c>
      <c r="H147" s="555" t="s">
        <v>3462</v>
      </c>
      <c r="I147" s="556" t="s">
        <v>2602</v>
      </c>
      <c r="J147" s="557" t="s">
        <v>1376</v>
      </c>
      <c r="K147" s="558" t="s">
        <v>3580</v>
      </c>
      <c r="L147" s="95"/>
      <c r="M147" s="104"/>
      <c r="N147" s="137">
        <v>2136944.37</v>
      </c>
      <c r="O147" s="138">
        <v>2220000</v>
      </c>
      <c r="P147" s="138">
        <v>2000000</v>
      </c>
      <c r="Q147" s="138">
        <v>2050000</v>
      </c>
      <c r="R147" s="138">
        <v>2050000</v>
      </c>
      <c r="S147" s="139">
        <v>2050000</v>
      </c>
      <c r="T147" s="322">
        <f t="shared" si="31"/>
        <v>-86944.370000000112</v>
      </c>
      <c r="U147" s="140">
        <f t="shared" si="32"/>
        <v>-4.0686304810078004E-2</v>
      </c>
      <c r="V147" s="322">
        <f t="shared" si="28"/>
        <v>-170000</v>
      </c>
      <c r="W147" s="140">
        <f t="shared" si="33"/>
        <v>-7.6576576576576572E-2</v>
      </c>
      <c r="X147" s="322">
        <f t="shared" si="34"/>
        <v>50000</v>
      </c>
      <c r="Y147" s="140">
        <f t="shared" si="35"/>
        <v>2.5000000000000001E-2</v>
      </c>
      <c r="Z147" s="519">
        <v>1464714.56</v>
      </c>
      <c r="AA147" s="111">
        <f t="shared" si="29"/>
        <v>1952952.7466666668</v>
      </c>
      <c r="AB147" s="522">
        <f t="shared" si="30"/>
        <v>47047.253333333181</v>
      </c>
    </row>
    <row r="148" spans="1:28" ht="26.25" customHeight="1">
      <c r="A148" s="114" t="s">
        <v>2606</v>
      </c>
      <c r="B148" s="125" t="s">
        <v>2597</v>
      </c>
      <c r="C148" s="97" t="s">
        <v>3186</v>
      </c>
      <c r="D148" s="97" t="s">
        <v>2631</v>
      </c>
      <c r="E148" s="559" t="s">
        <v>2608</v>
      </c>
      <c r="F148" s="540" t="s">
        <v>2607</v>
      </c>
      <c r="G148" s="555" t="s">
        <v>1337</v>
      </c>
      <c r="H148" s="555" t="s">
        <v>3462</v>
      </c>
      <c r="I148" s="556" t="s">
        <v>2602</v>
      </c>
      <c r="J148" s="557" t="s">
        <v>1376</v>
      </c>
      <c r="K148" s="558" t="s">
        <v>3580</v>
      </c>
      <c r="L148" s="95"/>
      <c r="M148" s="104"/>
      <c r="N148" s="137">
        <v>23074.32</v>
      </c>
      <c r="O148" s="138">
        <v>23000</v>
      </c>
      <c r="P148" s="138">
        <v>23000</v>
      </c>
      <c r="Q148" s="138">
        <v>23000</v>
      </c>
      <c r="R148" s="138">
        <v>23000</v>
      </c>
      <c r="S148" s="139">
        <v>23000</v>
      </c>
      <c r="T148" s="322">
        <f t="shared" si="31"/>
        <v>-74.319999999999709</v>
      </c>
      <c r="U148" s="140">
        <f t="shared" si="32"/>
        <v>-3.2208966504754942E-3</v>
      </c>
      <c r="V148" s="322">
        <f t="shared" si="28"/>
        <v>0</v>
      </c>
      <c r="W148" s="140">
        <f t="shared" si="33"/>
        <v>0</v>
      </c>
      <c r="X148" s="322">
        <f t="shared" si="34"/>
        <v>0</v>
      </c>
      <c r="Y148" s="140">
        <f t="shared" si="35"/>
        <v>0</v>
      </c>
      <c r="Z148" s="519">
        <v>17305.740000000002</v>
      </c>
      <c r="AA148" s="111">
        <f t="shared" si="29"/>
        <v>23074.320000000003</v>
      </c>
      <c r="AB148" s="111">
        <f t="shared" si="30"/>
        <v>-74.320000000003347</v>
      </c>
    </row>
    <row r="149" spans="1:28" ht="26.25" customHeight="1">
      <c r="A149" s="115" t="s">
        <v>3463</v>
      </c>
      <c r="B149" s="124" t="s">
        <v>2597</v>
      </c>
      <c r="C149" s="101" t="s">
        <v>3187</v>
      </c>
      <c r="D149" s="101" t="s">
        <v>3185</v>
      </c>
      <c r="E149" s="554" t="s">
        <v>3464</v>
      </c>
      <c r="F149" s="554" t="s">
        <v>3465</v>
      </c>
      <c r="G149" s="555"/>
      <c r="H149" s="555"/>
      <c r="I149" s="556"/>
      <c r="J149" s="557"/>
      <c r="K149" s="558"/>
      <c r="L149" s="95"/>
      <c r="M149" s="104"/>
      <c r="N149" s="137">
        <v>0</v>
      </c>
      <c r="O149" s="138">
        <v>0</v>
      </c>
      <c r="P149" s="138">
        <v>0</v>
      </c>
      <c r="Q149" s="138">
        <v>0</v>
      </c>
      <c r="R149" s="138">
        <v>0</v>
      </c>
      <c r="S149" s="139">
        <v>0</v>
      </c>
      <c r="T149" s="322">
        <f t="shared" si="31"/>
        <v>0</v>
      </c>
      <c r="U149" s="140" t="str">
        <f t="shared" si="32"/>
        <v/>
      </c>
      <c r="V149" s="322">
        <f t="shared" si="28"/>
        <v>0</v>
      </c>
      <c r="W149" s="140" t="str">
        <f t="shared" si="33"/>
        <v/>
      </c>
      <c r="X149" s="322">
        <f t="shared" si="34"/>
        <v>0</v>
      </c>
      <c r="Y149" s="140" t="str">
        <f t="shared" si="35"/>
        <v/>
      </c>
      <c r="Z149" s="519">
        <v>0</v>
      </c>
      <c r="AA149" s="111">
        <f t="shared" si="29"/>
        <v>0</v>
      </c>
      <c r="AB149" s="111">
        <f t="shared" si="30"/>
        <v>0</v>
      </c>
    </row>
    <row r="150" spans="1:28" ht="36.75" customHeight="1">
      <c r="A150" s="114" t="s">
        <v>3466</v>
      </c>
      <c r="B150" s="125" t="s">
        <v>2597</v>
      </c>
      <c r="C150" s="97" t="s">
        <v>3187</v>
      </c>
      <c r="D150" s="97" t="s">
        <v>2833</v>
      </c>
      <c r="E150" s="559" t="s">
        <v>5414</v>
      </c>
      <c r="F150" s="559" t="s">
        <v>4581</v>
      </c>
      <c r="G150" s="555" t="s">
        <v>1341</v>
      </c>
      <c r="H150" s="555" t="s">
        <v>3467</v>
      </c>
      <c r="I150" s="556" t="s">
        <v>3437</v>
      </c>
      <c r="J150" s="557" t="s">
        <v>1376</v>
      </c>
      <c r="K150" s="558" t="s">
        <v>3580</v>
      </c>
      <c r="L150" s="95"/>
      <c r="M150" s="104"/>
      <c r="N150" s="361">
        <v>413000</v>
      </c>
      <c r="O150" s="318">
        <v>413000</v>
      </c>
      <c r="P150" s="318">
        <v>532000</v>
      </c>
      <c r="Q150" s="318">
        <v>475000</v>
      </c>
      <c r="R150" s="318">
        <v>475000</v>
      </c>
      <c r="S150" s="319">
        <v>475000</v>
      </c>
      <c r="T150" s="322">
        <f t="shared" si="31"/>
        <v>62000</v>
      </c>
      <c r="U150" s="140">
        <f t="shared" si="32"/>
        <v>0.15012106537530268</v>
      </c>
      <c r="V150" s="322">
        <f t="shared" si="28"/>
        <v>62000</v>
      </c>
      <c r="W150" s="140">
        <f t="shared" si="33"/>
        <v>0.15012106537530268</v>
      </c>
      <c r="X150" s="322">
        <f t="shared" si="34"/>
        <v>-57000</v>
      </c>
      <c r="Y150" s="140">
        <f t="shared" si="35"/>
        <v>-0.10714285714285714</v>
      </c>
      <c r="Z150" s="519">
        <v>310000</v>
      </c>
      <c r="AA150" s="111">
        <f t="shared" si="29"/>
        <v>413333.33333333331</v>
      </c>
      <c r="AB150" s="111">
        <f t="shared" si="30"/>
        <v>118666.66666666669</v>
      </c>
    </row>
    <row r="151" spans="1:28" ht="36.75" customHeight="1">
      <c r="A151" s="114" t="s">
        <v>4384</v>
      </c>
      <c r="B151" s="126" t="s">
        <v>2597</v>
      </c>
      <c r="C151" s="98" t="s">
        <v>3187</v>
      </c>
      <c r="D151" s="98" t="s">
        <v>1378</v>
      </c>
      <c r="E151" s="540" t="s">
        <v>5415</v>
      </c>
      <c r="F151" s="540" t="s">
        <v>4385</v>
      </c>
      <c r="G151" s="511" t="s">
        <v>186</v>
      </c>
      <c r="H151" s="511" t="s">
        <v>3080</v>
      </c>
      <c r="I151" s="544" t="s">
        <v>3081</v>
      </c>
      <c r="J151" s="542" t="s">
        <v>2869</v>
      </c>
      <c r="K151" s="543" t="s">
        <v>2871</v>
      </c>
      <c r="L151" s="95"/>
      <c r="M151" s="104"/>
      <c r="N151" s="361">
        <v>444000</v>
      </c>
      <c r="O151" s="318">
        <v>378000</v>
      </c>
      <c r="P151" s="318">
        <v>378000</v>
      </c>
      <c r="Q151" s="318">
        <v>674000</v>
      </c>
      <c r="R151" s="318">
        <v>674000</v>
      </c>
      <c r="S151" s="319">
        <v>674000</v>
      </c>
      <c r="T151" s="322">
        <f t="shared" si="31"/>
        <v>230000</v>
      </c>
      <c r="U151" s="140">
        <f t="shared" si="32"/>
        <v>0.51801801801801806</v>
      </c>
      <c r="V151" s="322">
        <f t="shared" si="28"/>
        <v>296000</v>
      </c>
      <c r="W151" s="140">
        <f t="shared" si="33"/>
        <v>0.78306878306878303</v>
      </c>
      <c r="X151" s="322">
        <f t="shared" si="34"/>
        <v>296000</v>
      </c>
      <c r="Y151" s="140">
        <f t="shared" si="35"/>
        <v>0.78306878306878303</v>
      </c>
      <c r="Z151" s="519">
        <v>284000</v>
      </c>
      <c r="AA151" s="111">
        <f t="shared" si="29"/>
        <v>378666.66666666669</v>
      </c>
      <c r="AB151" s="111">
        <f t="shared" si="30"/>
        <v>-666.66666666668607</v>
      </c>
    </row>
    <row r="152" spans="1:28" ht="29.25" customHeight="1">
      <c r="A152" s="113" t="s">
        <v>2609</v>
      </c>
      <c r="B152" s="135" t="s">
        <v>2610</v>
      </c>
      <c r="C152" s="136" t="s">
        <v>3184</v>
      </c>
      <c r="D152" s="136" t="s">
        <v>3185</v>
      </c>
      <c r="E152" s="529" t="s">
        <v>4582</v>
      </c>
      <c r="F152" s="529" t="s">
        <v>4583</v>
      </c>
      <c r="G152" s="530"/>
      <c r="H152" s="530"/>
      <c r="I152" s="531"/>
      <c r="J152" s="532"/>
      <c r="K152" s="533"/>
      <c r="L152" s="95"/>
      <c r="M152" s="147"/>
      <c r="N152" s="137">
        <v>0</v>
      </c>
      <c r="O152" s="138">
        <v>0</v>
      </c>
      <c r="P152" s="138">
        <v>0</v>
      </c>
      <c r="Q152" s="138">
        <v>0</v>
      </c>
      <c r="R152" s="138">
        <v>0</v>
      </c>
      <c r="S152" s="139">
        <v>0</v>
      </c>
      <c r="T152" s="322">
        <f t="shared" si="31"/>
        <v>0</v>
      </c>
      <c r="U152" s="140" t="str">
        <f t="shared" si="32"/>
        <v/>
      </c>
      <c r="V152" s="322">
        <f t="shared" si="28"/>
        <v>0</v>
      </c>
      <c r="W152" s="140" t="str">
        <f t="shared" si="33"/>
        <v/>
      </c>
      <c r="X152" s="322">
        <f t="shared" si="34"/>
        <v>0</v>
      </c>
      <c r="Y152" s="140" t="str">
        <f t="shared" si="35"/>
        <v/>
      </c>
      <c r="Z152" s="519">
        <v>0</v>
      </c>
      <c r="AA152" s="111">
        <f t="shared" si="29"/>
        <v>0</v>
      </c>
      <c r="AB152" s="111">
        <f t="shared" si="30"/>
        <v>0</v>
      </c>
    </row>
    <row r="153" spans="1:28" ht="29.25" customHeight="1">
      <c r="A153" s="117" t="s">
        <v>2613</v>
      </c>
      <c r="B153" s="127" t="s">
        <v>2610</v>
      </c>
      <c r="C153" s="99" t="s">
        <v>3186</v>
      </c>
      <c r="D153" s="99" t="s">
        <v>3185</v>
      </c>
      <c r="E153" s="534" t="s">
        <v>2612</v>
      </c>
      <c r="F153" s="534" t="s">
        <v>2611</v>
      </c>
      <c r="G153" s="555"/>
      <c r="H153" s="555"/>
      <c r="I153" s="556"/>
      <c r="J153" s="557"/>
      <c r="K153" s="558"/>
      <c r="L153" s="95"/>
      <c r="M153" s="104"/>
      <c r="N153" s="137">
        <v>0</v>
      </c>
      <c r="O153" s="138">
        <v>0</v>
      </c>
      <c r="P153" s="138">
        <v>0</v>
      </c>
      <c r="Q153" s="138">
        <v>0</v>
      </c>
      <c r="R153" s="138">
        <v>0</v>
      </c>
      <c r="S153" s="139">
        <v>0</v>
      </c>
      <c r="T153" s="322">
        <f t="shared" si="31"/>
        <v>0</v>
      </c>
      <c r="U153" s="140" t="str">
        <f t="shared" si="32"/>
        <v/>
      </c>
      <c r="V153" s="322">
        <f t="shared" si="28"/>
        <v>0</v>
      </c>
      <c r="W153" s="140" t="str">
        <f t="shared" si="33"/>
        <v/>
      </c>
      <c r="X153" s="322">
        <f t="shared" si="34"/>
        <v>0</v>
      </c>
      <c r="Y153" s="140" t="str">
        <f t="shared" si="35"/>
        <v/>
      </c>
      <c r="Z153" s="519">
        <v>0</v>
      </c>
      <c r="AA153" s="111">
        <f t="shared" si="29"/>
        <v>0</v>
      </c>
      <c r="AB153" s="111">
        <f t="shared" si="30"/>
        <v>0</v>
      </c>
    </row>
    <row r="154" spans="1:28" ht="29.25" customHeight="1">
      <c r="A154" s="114" t="s">
        <v>2614</v>
      </c>
      <c r="B154" s="125" t="s">
        <v>2610</v>
      </c>
      <c r="C154" s="97" t="s">
        <v>3186</v>
      </c>
      <c r="D154" s="97" t="s">
        <v>3183</v>
      </c>
      <c r="E154" s="559" t="s">
        <v>2071</v>
      </c>
      <c r="F154" s="540" t="s">
        <v>2070</v>
      </c>
      <c r="G154" s="555" t="s">
        <v>1349</v>
      </c>
      <c r="H154" s="512" t="s">
        <v>4946</v>
      </c>
      <c r="I154" s="556" t="s">
        <v>2072</v>
      </c>
      <c r="J154" s="557" t="s">
        <v>2604</v>
      </c>
      <c r="K154" s="558" t="s">
        <v>3581</v>
      </c>
      <c r="L154" s="95"/>
      <c r="M154" s="104"/>
      <c r="N154" s="137">
        <v>426582.75</v>
      </c>
      <c r="O154" s="138">
        <v>460000</v>
      </c>
      <c r="P154" s="138">
        <v>744000</v>
      </c>
      <c r="Q154" s="138">
        <v>744000</v>
      </c>
      <c r="R154" s="138">
        <v>744000</v>
      </c>
      <c r="S154" s="139">
        <v>744000</v>
      </c>
      <c r="T154" s="322">
        <f t="shared" si="31"/>
        <v>317417.25</v>
      </c>
      <c r="U154" s="140">
        <f t="shared" si="32"/>
        <v>0.74409302767165342</v>
      </c>
      <c r="V154" s="322">
        <f t="shared" si="28"/>
        <v>284000</v>
      </c>
      <c r="W154" s="140">
        <f t="shared" si="33"/>
        <v>0.61739130434782608</v>
      </c>
      <c r="X154" s="322">
        <f t="shared" si="34"/>
        <v>0</v>
      </c>
      <c r="Y154" s="140">
        <f t="shared" si="35"/>
        <v>0</v>
      </c>
      <c r="Z154" s="519">
        <v>557651.28</v>
      </c>
      <c r="AA154" s="111">
        <f t="shared" si="29"/>
        <v>743535.04</v>
      </c>
      <c r="AB154" s="111">
        <f t="shared" si="30"/>
        <v>464.95999999996275</v>
      </c>
    </row>
    <row r="155" spans="1:28" ht="29.25" customHeight="1">
      <c r="A155" s="114" t="s">
        <v>2075</v>
      </c>
      <c r="B155" s="125" t="s">
        <v>2610</v>
      </c>
      <c r="C155" s="97" t="s">
        <v>3186</v>
      </c>
      <c r="D155" s="97" t="s">
        <v>3193</v>
      </c>
      <c r="E155" s="559" t="s">
        <v>2077</v>
      </c>
      <c r="F155" s="540" t="s">
        <v>2076</v>
      </c>
      <c r="G155" s="555" t="s">
        <v>1349</v>
      </c>
      <c r="H155" s="512" t="s">
        <v>4946</v>
      </c>
      <c r="I155" s="556" t="s">
        <v>2072</v>
      </c>
      <c r="J155" s="557" t="s">
        <v>2604</v>
      </c>
      <c r="K155" s="558" t="s">
        <v>3581</v>
      </c>
      <c r="L155" s="95"/>
      <c r="M155" s="104"/>
      <c r="N155" s="137">
        <v>65674.37</v>
      </c>
      <c r="O155" s="138">
        <v>62000</v>
      </c>
      <c r="P155" s="138">
        <v>99000</v>
      </c>
      <c r="Q155" s="138">
        <v>99000</v>
      </c>
      <c r="R155" s="138">
        <v>99000</v>
      </c>
      <c r="S155" s="139">
        <v>99000</v>
      </c>
      <c r="T155" s="322">
        <f t="shared" si="31"/>
        <v>33325.630000000005</v>
      </c>
      <c r="U155" s="140">
        <f t="shared" si="32"/>
        <v>0.50743737625499885</v>
      </c>
      <c r="V155" s="322">
        <f t="shared" si="28"/>
        <v>37000</v>
      </c>
      <c r="W155" s="140">
        <f t="shared" si="33"/>
        <v>0.59677419354838712</v>
      </c>
      <c r="X155" s="322">
        <f t="shared" si="34"/>
        <v>0</v>
      </c>
      <c r="Y155" s="140">
        <f t="shared" si="35"/>
        <v>0</v>
      </c>
      <c r="Z155" s="519">
        <v>74436.67</v>
      </c>
      <c r="AA155" s="111">
        <f t="shared" si="29"/>
        <v>99248.893333333326</v>
      </c>
      <c r="AB155" s="111">
        <f t="shared" si="30"/>
        <v>-248.89333333332615</v>
      </c>
    </row>
    <row r="156" spans="1:28" ht="29.25" customHeight="1">
      <c r="A156" s="115" t="s">
        <v>2078</v>
      </c>
      <c r="B156" s="124" t="s">
        <v>2610</v>
      </c>
      <c r="C156" s="101" t="s">
        <v>3187</v>
      </c>
      <c r="D156" s="101" t="s">
        <v>3185</v>
      </c>
      <c r="E156" s="554" t="s">
        <v>2079</v>
      </c>
      <c r="F156" s="534" t="s">
        <v>4394</v>
      </c>
      <c r="G156" s="555"/>
      <c r="H156" s="555"/>
      <c r="I156" s="556"/>
      <c r="J156" s="557"/>
      <c r="K156" s="558"/>
      <c r="L156" s="95"/>
      <c r="M156" s="104"/>
      <c r="N156" s="137">
        <v>0</v>
      </c>
      <c r="O156" s="138">
        <v>0</v>
      </c>
      <c r="P156" s="138">
        <v>0</v>
      </c>
      <c r="Q156" s="138">
        <v>0</v>
      </c>
      <c r="R156" s="138">
        <v>0</v>
      </c>
      <c r="S156" s="139">
        <v>0</v>
      </c>
      <c r="T156" s="322">
        <f t="shared" si="31"/>
        <v>0</v>
      </c>
      <c r="U156" s="140" t="str">
        <f t="shared" si="32"/>
        <v/>
      </c>
      <c r="V156" s="322">
        <f t="shared" si="28"/>
        <v>0</v>
      </c>
      <c r="W156" s="140" t="str">
        <f t="shared" si="33"/>
        <v/>
      </c>
      <c r="X156" s="322">
        <f t="shared" si="34"/>
        <v>0</v>
      </c>
      <c r="Y156" s="140" t="str">
        <f t="shared" si="35"/>
        <v/>
      </c>
      <c r="Z156" s="519">
        <v>0</v>
      </c>
      <c r="AA156" s="111">
        <f t="shared" si="29"/>
        <v>0</v>
      </c>
      <c r="AB156" s="111">
        <f t="shared" si="30"/>
        <v>0</v>
      </c>
    </row>
    <row r="157" spans="1:28" ht="29.25" customHeight="1">
      <c r="A157" s="114" t="s">
        <v>2080</v>
      </c>
      <c r="B157" s="125" t="s">
        <v>2610</v>
      </c>
      <c r="C157" s="97" t="s">
        <v>3187</v>
      </c>
      <c r="D157" s="97" t="s">
        <v>3183</v>
      </c>
      <c r="E157" s="559" t="s">
        <v>2079</v>
      </c>
      <c r="F157" s="540" t="s">
        <v>4394</v>
      </c>
      <c r="G157" s="555" t="s">
        <v>128</v>
      </c>
      <c r="H157" s="512" t="s">
        <v>200</v>
      </c>
      <c r="I157" s="556" t="s">
        <v>3468</v>
      </c>
      <c r="J157" s="557" t="s">
        <v>2905</v>
      </c>
      <c r="K157" s="558" t="s">
        <v>2906</v>
      </c>
      <c r="L157" s="95"/>
      <c r="M157" s="104"/>
      <c r="N157" s="137">
        <v>25000</v>
      </c>
      <c r="O157" s="138">
        <v>37000</v>
      </c>
      <c r="P157" s="138">
        <v>50000</v>
      </c>
      <c r="Q157" s="138">
        <v>50000</v>
      </c>
      <c r="R157" s="138">
        <v>50000</v>
      </c>
      <c r="S157" s="139">
        <v>50000</v>
      </c>
      <c r="T157" s="322">
        <f t="shared" si="31"/>
        <v>25000</v>
      </c>
      <c r="U157" s="140">
        <f t="shared" si="32"/>
        <v>1</v>
      </c>
      <c r="V157" s="322">
        <f t="shared" si="28"/>
        <v>13000</v>
      </c>
      <c r="W157" s="140">
        <f t="shared" si="33"/>
        <v>0.35135135135135137</v>
      </c>
      <c r="X157" s="322">
        <f t="shared" si="34"/>
        <v>0</v>
      </c>
      <c r="Y157" s="140">
        <f t="shared" si="35"/>
        <v>0</v>
      </c>
      <c r="Z157" s="519">
        <v>38000</v>
      </c>
      <c r="AA157" s="111">
        <f t="shared" si="29"/>
        <v>50666.666666666664</v>
      </c>
      <c r="AB157" s="111">
        <f t="shared" si="30"/>
        <v>-666.66666666666424</v>
      </c>
    </row>
    <row r="158" spans="1:28" ht="29.25" customHeight="1">
      <c r="A158" s="115" t="s">
        <v>2081</v>
      </c>
      <c r="B158" s="124" t="s">
        <v>2610</v>
      </c>
      <c r="C158" s="101" t="s">
        <v>2139</v>
      </c>
      <c r="D158" s="101" t="s">
        <v>3185</v>
      </c>
      <c r="E158" s="554" t="s">
        <v>2083</v>
      </c>
      <c r="F158" s="534" t="s">
        <v>2082</v>
      </c>
      <c r="G158" s="555"/>
      <c r="H158" s="555"/>
      <c r="I158" s="556"/>
      <c r="J158" s="557"/>
      <c r="K158" s="558"/>
      <c r="L158" s="95"/>
      <c r="M158" s="104"/>
      <c r="N158" s="137">
        <v>0</v>
      </c>
      <c r="O158" s="138">
        <v>0</v>
      </c>
      <c r="P158" s="138">
        <v>0</v>
      </c>
      <c r="Q158" s="138">
        <v>0</v>
      </c>
      <c r="R158" s="138">
        <v>0</v>
      </c>
      <c r="S158" s="139">
        <v>0</v>
      </c>
      <c r="T158" s="322">
        <f t="shared" si="31"/>
        <v>0</v>
      </c>
      <c r="U158" s="140" t="str">
        <f t="shared" si="32"/>
        <v/>
      </c>
      <c r="V158" s="322">
        <f t="shared" si="28"/>
        <v>0</v>
      </c>
      <c r="W158" s="140" t="str">
        <f t="shared" si="33"/>
        <v/>
      </c>
      <c r="X158" s="322">
        <f t="shared" si="34"/>
        <v>0</v>
      </c>
      <c r="Y158" s="140" t="str">
        <f t="shared" si="35"/>
        <v/>
      </c>
      <c r="Z158" s="519">
        <v>0</v>
      </c>
      <c r="AA158" s="111">
        <f t="shared" si="29"/>
        <v>0</v>
      </c>
      <c r="AB158" s="111">
        <f t="shared" si="30"/>
        <v>0</v>
      </c>
    </row>
    <row r="159" spans="1:28" ht="29.25" customHeight="1">
      <c r="A159" s="114" t="s">
        <v>2084</v>
      </c>
      <c r="B159" s="125" t="s">
        <v>2610</v>
      </c>
      <c r="C159" s="97" t="s">
        <v>2139</v>
      </c>
      <c r="D159" s="97" t="s">
        <v>3183</v>
      </c>
      <c r="E159" s="559" t="s">
        <v>2083</v>
      </c>
      <c r="F159" s="540" t="s">
        <v>2082</v>
      </c>
      <c r="G159" s="555" t="s">
        <v>1354</v>
      </c>
      <c r="H159" s="512" t="s">
        <v>4947</v>
      </c>
      <c r="I159" s="541" t="s">
        <v>3469</v>
      </c>
      <c r="J159" s="557" t="s">
        <v>2604</v>
      </c>
      <c r="K159" s="558" t="s">
        <v>3581</v>
      </c>
      <c r="L159" s="95"/>
      <c r="M159" s="104"/>
      <c r="N159" s="137">
        <v>0</v>
      </c>
      <c r="O159" s="138">
        <v>0</v>
      </c>
      <c r="P159" s="138">
        <v>0</v>
      </c>
      <c r="Q159" s="138">
        <v>0</v>
      </c>
      <c r="R159" s="138">
        <v>0</v>
      </c>
      <c r="S159" s="139">
        <v>0</v>
      </c>
      <c r="T159" s="322">
        <f t="shared" si="31"/>
        <v>0</v>
      </c>
      <c r="U159" s="140" t="str">
        <f t="shared" si="32"/>
        <v/>
      </c>
      <c r="V159" s="322">
        <f t="shared" si="28"/>
        <v>0</v>
      </c>
      <c r="W159" s="140" t="str">
        <f t="shared" si="33"/>
        <v/>
      </c>
      <c r="X159" s="322">
        <f t="shared" si="34"/>
        <v>0</v>
      </c>
      <c r="Y159" s="140" t="str">
        <f t="shared" si="35"/>
        <v/>
      </c>
      <c r="Z159" s="519">
        <v>0</v>
      </c>
      <c r="AA159" s="111">
        <f t="shared" si="29"/>
        <v>0</v>
      </c>
      <c r="AB159" s="111">
        <f t="shared" si="30"/>
        <v>0</v>
      </c>
    </row>
    <row r="160" spans="1:28" ht="29.25" customHeight="1">
      <c r="A160" s="113" t="s">
        <v>2085</v>
      </c>
      <c r="B160" s="135" t="s">
        <v>2086</v>
      </c>
      <c r="C160" s="136" t="s">
        <v>3184</v>
      </c>
      <c r="D160" s="136" t="s">
        <v>3185</v>
      </c>
      <c r="E160" s="529" t="s">
        <v>2088</v>
      </c>
      <c r="F160" s="529" t="s">
        <v>2087</v>
      </c>
      <c r="G160" s="530"/>
      <c r="H160" s="530"/>
      <c r="I160" s="531"/>
      <c r="J160" s="532"/>
      <c r="K160" s="533"/>
      <c r="L160" s="95"/>
      <c r="M160" s="147"/>
      <c r="N160" s="137">
        <v>0</v>
      </c>
      <c r="O160" s="138">
        <v>0</v>
      </c>
      <c r="P160" s="138">
        <v>0</v>
      </c>
      <c r="Q160" s="138">
        <v>0</v>
      </c>
      <c r="R160" s="138">
        <v>0</v>
      </c>
      <c r="S160" s="139">
        <v>0</v>
      </c>
      <c r="T160" s="322">
        <f t="shared" si="31"/>
        <v>0</v>
      </c>
      <c r="U160" s="140" t="str">
        <f t="shared" si="32"/>
        <v/>
      </c>
      <c r="V160" s="322">
        <f t="shared" si="28"/>
        <v>0</v>
      </c>
      <c r="W160" s="140" t="str">
        <f t="shared" si="33"/>
        <v/>
      </c>
      <c r="X160" s="322">
        <f t="shared" si="34"/>
        <v>0</v>
      </c>
      <c r="Y160" s="140" t="str">
        <f t="shared" si="35"/>
        <v/>
      </c>
      <c r="Z160" s="519">
        <v>0</v>
      </c>
      <c r="AA160" s="111">
        <f t="shared" si="29"/>
        <v>0</v>
      </c>
      <c r="AB160" s="111">
        <f t="shared" si="30"/>
        <v>0</v>
      </c>
    </row>
    <row r="161" spans="1:28" ht="29.25" customHeight="1">
      <c r="A161" s="115" t="s">
        <v>2089</v>
      </c>
      <c r="B161" s="124" t="s">
        <v>2086</v>
      </c>
      <c r="C161" s="101" t="s">
        <v>3186</v>
      </c>
      <c r="D161" s="101" t="s">
        <v>3185</v>
      </c>
      <c r="E161" s="554" t="s">
        <v>2088</v>
      </c>
      <c r="F161" s="534" t="s">
        <v>2087</v>
      </c>
      <c r="G161" s="555"/>
      <c r="H161" s="555"/>
      <c r="I161" s="556"/>
      <c r="J161" s="557"/>
      <c r="K161" s="558"/>
      <c r="L161" s="95"/>
      <c r="M161" s="104"/>
      <c r="N161" s="137">
        <v>0</v>
      </c>
      <c r="O161" s="138">
        <v>0</v>
      </c>
      <c r="P161" s="138">
        <v>0</v>
      </c>
      <c r="Q161" s="138">
        <v>0</v>
      </c>
      <c r="R161" s="138">
        <v>0</v>
      </c>
      <c r="S161" s="139">
        <v>0</v>
      </c>
      <c r="T161" s="322">
        <f t="shared" si="31"/>
        <v>0</v>
      </c>
      <c r="U161" s="140" t="str">
        <f t="shared" si="32"/>
        <v/>
      </c>
      <c r="V161" s="322">
        <f t="shared" si="28"/>
        <v>0</v>
      </c>
      <c r="W161" s="140" t="str">
        <f t="shared" si="33"/>
        <v/>
      </c>
      <c r="X161" s="322">
        <f t="shared" si="34"/>
        <v>0</v>
      </c>
      <c r="Y161" s="140" t="str">
        <f t="shared" si="35"/>
        <v/>
      </c>
      <c r="Z161" s="519">
        <v>0</v>
      </c>
      <c r="AA161" s="111">
        <f t="shared" si="29"/>
        <v>0</v>
      </c>
      <c r="AB161" s="111">
        <f t="shared" si="30"/>
        <v>0</v>
      </c>
    </row>
    <row r="162" spans="1:28" ht="29.25" customHeight="1">
      <c r="A162" s="114" t="s">
        <v>4431</v>
      </c>
      <c r="B162" s="126" t="s">
        <v>2086</v>
      </c>
      <c r="C162" s="98" t="s">
        <v>3186</v>
      </c>
      <c r="D162" s="98" t="s">
        <v>3099</v>
      </c>
      <c r="E162" s="540" t="s">
        <v>4432</v>
      </c>
      <c r="F162" s="540" t="s">
        <v>4433</v>
      </c>
      <c r="G162" s="511" t="s">
        <v>1351</v>
      </c>
      <c r="H162" s="512" t="s">
        <v>4948</v>
      </c>
      <c r="I162" s="541" t="s">
        <v>3282</v>
      </c>
      <c r="J162" s="542" t="s">
        <v>2604</v>
      </c>
      <c r="K162" s="543" t="s">
        <v>3581</v>
      </c>
      <c r="L162" s="95"/>
      <c r="M162" s="104"/>
      <c r="N162" s="137">
        <v>8575.76</v>
      </c>
      <c r="O162" s="138">
        <v>10000</v>
      </c>
      <c r="P162" s="138">
        <v>55000</v>
      </c>
      <c r="Q162" s="138">
        <v>55000</v>
      </c>
      <c r="R162" s="138">
        <v>55000</v>
      </c>
      <c r="S162" s="139">
        <v>55000</v>
      </c>
      <c r="T162" s="322">
        <f t="shared" si="31"/>
        <v>46424.24</v>
      </c>
      <c r="U162" s="140">
        <f t="shared" si="32"/>
        <v>5.4134257488549116</v>
      </c>
      <c r="V162" s="322">
        <f t="shared" si="28"/>
        <v>45000</v>
      </c>
      <c r="W162" s="140">
        <f t="shared" si="33"/>
        <v>4.5</v>
      </c>
      <c r="X162" s="322">
        <f t="shared" si="34"/>
        <v>0</v>
      </c>
      <c r="Y162" s="140">
        <f t="shared" si="35"/>
        <v>0</v>
      </c>
      <c r="Z162" s="519">
        <v>48267.040000000001</v>
      </c>
      <c r="AA162" s="111">
        <f t="shared" si="29"/>
        <v>64356.053333333337</v>
      </c>
      <c r="AB162" s="111">
        <f t="shared" si="30"/>
        <v>-9356.0533333333369</v>
      </c>
    </row>
    <row r="163" spans="1:28" ht="29.25" customHeight="1">
      <c r="A163" s="114" t="s">
        <v>2090</v>
      </c>
      <c r="B163" s="126" t="s">
        <v>2086</v>
      </c>
      <c r="C163" s="98" t="s">
        <v>3186</v>
      </c>
      <c r="D163" s="98" t="s">
        <v>3183</v>
      </c>
      <c r="E163" s="540" t="s">
        <v>3470</v>
      </c>
      <c r="F163" s="540" t="s">
        <v>4584</v>
      </c>
      <c r="G163" s="511" t="s">
        <v>1353</v>
      </c>
      <c r="H163" s="512" t="s">
        <v>4949</v>
      </c>
      <c r="I163" s="541" t="s">
        <v>3284</v>
      </c>
      <c r="J163" s="542" t="s">
        <v>2604</v>
      </c>
      <c r="K163" s="543" t="s">
        <v>3581</v>
      </c>
      <c r="L163" s="95"/>
      <c r="M163" s="104"/>
      <c r="N163" s="137">
        <v>2412515.89</v>
      </c>
      <c r="O163" s="138">
        <v>2850000</v>
      </c>
      <c r="P163" s="138">
        <v>3100000</v>
      </c>
      <c r="Q163" s="138">
        <v>3700000</v>
      </c>
      <c r="R163" s="138">
        <v>3700000</v>
      </c>
      <c r="S163" s="139">
        <v>3700000</v>
      </c>
      <c r="T163" s="322">
        <f t="shared" si="31"/>
        <v>1287484.1099999999</v>
      </c>
      <c r="U163" s="140">
        <f t="shared" si="32"/>
        <v>0.53366865492438265</v>
      </c>
      <c r="V163" s="322">
        <f t="shared" si="28"/>
        <v>850000</v>
      </c>
      <c r="W163" s="140">
        <f t="shared" si="33"/>
        <v>0.2982456140350877</v>
      </c>
      <c r="X163" s="322">
        <f t="shared" si="34"/>
        <v>600000</v>
      </c>
      <c r="Y163" s="140">
        <f t="shared" si="35"/>
        <v>0.19354838709677419</v>
      </c>
      <c r="Z163" s="519">
        <v>2325493.19</v>
      </c>
      <c r="AA163" s="111">
        <f t="shared" si="29"/>
        <v>3100657.5866666664</v>
      </c>
      <c r="AB163" s="111">
        <f t="shared" si="30"/>
        <v>-657.58666666643694</v>
      </c>
    </row>
    <row r="164" spans="1:28" ht="33.75">
      <c r="A164" s="114" t="s">
        <v>4434</v>
      </c>
      <c r="B164" s="126" t="s">
        <v>2086</v>
      </c>
      <c r="C164" s="98" t="s">
        <v>3186</v>
      </c>
      <c r="D164" s="98" t="s">
        <v>1378</v>
      </c>
      <c r="E164" s="540" t="s">
        <v>4435</v>
      </c>
      <c r="F164" s="540" t="s">
        <v>4436</v>
      </c>
      <c r="G164" s="511" t="s">
        <v>1352</v>
      </c>
      <c r="H164" s="512" t="s">
        <v>4950</v>
      </c>
      <c r="I164" s="541" t="s">
        <v>4951</v>
      </c>
      <c r="J164" s="542" t="s">
        <v>2604</v>
      </c>
      <c r="K164" s="543" t="s">
        <v>3581</v>
      </c>
      <c r="L164" s="95"/>
      <c r="M164" s="104"/>
      <c r="N164" s="137">
        <v>0</v>
      </c>
      <c r="O164" s="138">
        <v>0</v>
      </c>
      <c r="P164" s="138">
        <v>0</v>
      </c>
      <c r="Q164" s="138">
        <v>0</v>
      </c>
      <c r="R164" s="138">
        <v>0</v>
      </c>
      <c r="S164" s="139">
        <v>0</v>
      </c>
      <c r="T164" s="322">
        <f t="shared" si="31"/>
        <v>0</v>
      </c>
      <c r="U164" s="140" t="str">
        <f t="shared" si="32"/>
        <v/>
      </c>
      <c r="V164" s="322">
        <f t="shared" si="28"/>
        <v>0</v>
      </c>
      <c r="W164" s="140" t="str">
        <f t="shared" si="33"/>
        <v/>
      </c>
      <c r="X164" s="322">
        <f t="shared" si="34"/>
        <v>0</v>
      </c>
      <c r="Y164" s="140" t="str">
        <f t="shared" si="35"/>
        <v/>
      </c>
      <c r="Z164" s="519">
        <v>0</v>
      </c>
      <c r="AA164" s="111">
        <f t="shared" si="29"/>
        <v>0</v>
      </c>
      <c r="AB164" s="111">
        <f t="shared" si="30"/>
        <v>0</v>
      </c>
    </row>
    <row r="165" spans="1:28" ht="29.25" customHeight="1">
      <c r="A165" s="114" t="s">
        <v>2091</v>
      </c>
      <c r="B165" s="125" t="s">
        <v>2086</v>
      </c>
      <c r="C165" s="97" t="s">
        <v>3186</v>
      </c>
      <c r="D165" s="97" t="s">
        <v>3193</v>
      </c>
      <c r="E165" s="540" t="s">
        <v>4437</v>
      </c>
      <c r="F165" s="540" t="s">
        <v>4438</v>
      </c>
      <c r="G165" s="511" t="s">
        <v>1354</v>
      </c>
      <c r="H165" s="512" t="s">
        <v>4947</v>
      </c>
      <c r="I165" s="541" t="s">
        <v>3469</v>
      </c>
      <c r="J165" s="557" t="s">
        <v>2604</v>
      </c>
      <c r="K165" s="558" t="s">
        <v>3581</v>
      </c>
      <c r="L165" s="95"/>
      <c r="M165" s="104"/>
      <c r="N165" s="137">
        <v>5942281.1999999993</v>
      </c>
      <c r="O165" s="138">
        <v>5900000</v>
      </c>
      <c r="P165" s="138">
        <v>6080000</v>
      </c>
      <c r="Q165" s="138">
        <f>6580000+500000</f>
        <v>7080000</v>
      </c>
      <c r="R165" s="138">
        <f>6580000+500000</f>
        <v>7080000</v>
      </c>
      <c r="S165" s="139">
        <f>6580000+500000</f>
        <v>7080000</v>
      </c>
      <c r="T165" s="322">
        <f t="shared" si="31"/>
        <v>1137718.8000000007</v>
      </c>
      <c r="U165" s="140">
        <f t="shared" si="32"/>
        <v>0.19146162251628229</v>
      </c>
      <c r="V165" s="322">
        <f t="shared" si="28"/>
        <v>1180000</v>
      </c>
      <c r="W165" s="140">
        <f t="shared" si="33"/>
        <v>0.2</v>
      </c>
      <c r="X165" s="322">
        <f t="shared" si="34"/>
        <v>1000000</v>
      </c>
      <c r="Y165" s="140">
        <f t="shared" si="35"/>
        <v>0.16447368421052633</v>
      </c>
      <c r="Z165" s="519">
        <v>4560404.91</v>
      </c>
      <c r="AA165" s="111">
        <f t="shared" si="29"/>
        <v>6080539.8799999999</v>
      </c>
      <c r="AB165" s="111">
        <f t="shared" si="30"/>
        <v>-539.87999999988824</v>
      </c>
    </row>
    <row r="166" spans="1:28" ht="29.25" customHeight="1">
      <c r="A166" s="115" t="s">
        <v>3472</v>
      </c>
      <c r="B166" s="124" t="s">
        <v>2086</v>
      </c>
      <c r="C166" s="101" t="s">
        <v>2759</v>
      </c>
      <c r="D166" s="101" t="s">
        <v>3185</v>
      </c>
      <c r="E166" s="554" t="s">
        <v>3473</v>
      </c>
      <c r="F166" s="554" t="s">
        <v>3474</v>
      </c>
      <c r="G166" s="555"/>
      <c r="H166" s="555"/>
      <c r="I166" s="556"/>
      <c r="J166" s="557"/>
      <c r="K166" s="558"/>
      <c r="L166" s="95"/>
      <c r="M166" s="104"/>
      <c r="N166" s="137">
        <v>0</v>
      </c>
      <c r="O166" s="138">
        <v>0</v>
      </c>
      <c r="P166" s="138">
        <v>0</v>
      </c>
      <c r="Q166" s="138">
        <v>0</v>
      </c>
      <c r="R166" s="138">
        <v>0</v>
      </c>
      <c r="S166" s="139">
        <v>0</v>
      </c>
      <c r="T166" s="322">
        <f t="shared" si="31"/>
        <v>0</v>
      </c>
      <c r="U166" s="140" t="str">
        <f t="shared" si="32"/>
        <v/>
      </c>
      <c r="V166" s="322">
        <f t="shared" si="28"/>
        <v>0</v>
      </c>
      <c r="W166" s="140" t="str">
        <f t="shared" si="33"/>
        <v/>
      </c>
      <c r="X166" s="322">
        <f t="shared" si="34"/>
        <v>0</v>
      </c>
      <c r="Y166" s="140" t="str">
        <f t="shared" si="35"/>
        <v/>
      </c>
      <c r="Z166" s="519">
        <v>0</v>
      </c>
      <c r="AA166" s="111">
        <f t="shared" si="29"/>
        <v>0</v>
      </c>
      <c r="AB166" s="111">
        <f t="shared" si="30"/>
        <v>0</v>
      </c>
    </row>
    <row r="167" spans="1:28" ht="37.5" customHeight="1">
      <c r="A167" s="114" t="s">
        <v>3475</v>
      </c>
      <c r="B167" s="125" t="s">
        <v>2086</v>
      </c>
      <c r="C167" s="97" t="s">
        <v>2759</v>
      </c>
      <c r="D167" s="97" t="s">
        <v>3183</v>
      </c>
      <c r="E167" s="559" t="s">
        <v>5416</v>
      </c>
      <c r="F167" s="559" t="s">
        <v>3476</v>
      </c>
      <c r="G167" s="511" t="s">
        <v>182</v>
      </c>
      <c r="H167" s="511" t="s">
        <v>3433</v>
      </c>
      <c r="I167" s="556" t="s">
        <v>3434</v>
      </c>
      <c r="J167" s="557" t="s">
        <v>2869</v>
      </c>
      <c r="K167" s="558" t="s">
        <v>2871</v>
      </c>
      <c r="L167" s="95"/>
      <c r="M167" s="104"/>
      <c r="N167" s="137">
        <v>923899.86</v>
      </c>
      <c r="O167" s="138">
        <v>778000</v>
      </c>
      <c r="P167" s="138">
        <v>778000</v>
      </c>
      <c r="Q167" s="138">
        <v>778000</v>
      </c>
      <c r="R167" s="138">
        <v>778000</v>
      </c>
      <c r="S167" s="139">
        <v>778000</v>
      </c>
      <c r="T167" s="322">
        <f t="shared" si="31"/>
        <v>-145899.85999999999</v>
      </c>
      <c r="U167" s="140">
        <f t="shared" si="32"/>
        <v>-0.15791739593942572</v>
      </c>
      <c r="V167" s="322">
        <f t="shared" si="28"/>
        <v>0</v>
      </c>
      <c r="W167" s="140">
        <f t="shared" si="33"/>
        <v>0</v>
      </c>
      <c r="X167" s="322">
        <f t="shared" si="34"/>
        <v>0</v>
      </c>
      <c r="Y167" s="140">
        <f t="shared" si="35"/>
        <v>0</v>
      </c>
      <c r="Z167" s="519">
        <v>583873.85</v>
      </c>
      <c r="AA167" s="111">
        <f t="shared" si="29"/>
        <v>778498.46666666667</v>
      </c>
      <c r="AB167" s="111">
        <f t="shared" si="30"/>
        <v>-498.46666666667443</v>
      </c>
    </row>
    <row r="168" spans="1:28" ht="37.5" customHeight="1">
      <c r="A168" s="114" t="s">
        <v>3477</v>
      </c>
      <c r="B168" s="125" t="s">
        <v>2086</v>
      </c>
      <c r="C168" s="97" t="s">
        <v>2759</v>
      </c>
      <c r="D168" s="97" t="s">
        <v>2833</v>
      </c>
      <c r="E168" s="559" t="s">
        <v>5417</v>
      </c>
      <c r="F168" s="559" t="s">
        <v>4585</v>
      </c>
      <c r="G168" s="555" t="s">
        <v>1348</v>
      </c>
      <c r="H168" s="512" t="s">
        <v>4952</v>
      </c>
      <c r="I168" s="541" t="s">
        <v>3437</v>
      </c>
      <c r="J168" s="557" t="s">
        <v>2604</v>
      </c>
      <c r="K168" s="558" t="s">
        <v>3581</v>
      </c>
      <c r="L168" s="95"/>
      <c r="M168" s="104"/>
      <c r="N168" s="361">
        <v>3427000</v>
      </c>
      <c r="O168" s="318">
        <v>3427000</v>
      </c>
      <c r="P168" s="318">
        <v>4059000</v>
      </c>
      <c r="Q168" s="318">
        <v>3927000</v>
      </c>
      <c r="R168" s="318">
        <v>3927000</v>
      </c>
      <c r="S168" s="319">
        <v>3927000</v>
      </c>
      <c r="T168" s="322">
        <f t="shared" si="31"/>
        <v>500000</v>
      </c>
      <c r="U168" s="140">
        <f t="shared" si="32"/>
        <v>0.14590020426028597</v>
      </c>
      <c r="V168" s="322">
        <f t="shared" si="28"/>
        <v>500000</v>
      </c>
      <c r="W168" s="140">
        <f t="shared" si="33"/>
        <v>0.14590020426028597</v>
      </c>
      <c r="X168" s="322">
        <f t="shared" si="34"/>
        <v>-132000</v>
      </c>
      <c r="Y168" s="140">
        <f t="shared" si="35"/>
        <v>-3.2520325203252036E-2</v>
      </c>
      <c r="Z168" s="519">
        <v>2570000</v>
      </c>
      <c r="AA168" s="111">
        <f t="shared" si="29"/>
        <v>3426666.6666666665</v>
      </c>
      <c r="AB168" s="111">
        <f t="shared" si="30"/>
        <v>632333.33333333349</v>
      </c>
    </row>
    <row r="169" spans="1:28" ht="29.25" customHeight="1">
      <c r="A169" s="114" t="s">
        <v>3478</v>
      </c>
      <c r="B169" s="125" t="s">
        <v>2086</v>
      </c>
      <c r="C169" s="97" t="s">
        <v>2759</v>
      </c>
      <c r="D169" s="97" t="s">
        <v>1378</v>
      </c>
      <c r="E169" s="540" t="s">
        <v>4439</v>
      </c>
      <c r="F169" s="540" t="s">
        <v>4440</v>
      </c>
      <c r="G169" s="555" t="s">
        <v>1351</v>
      </c>
      <c r="H169" s="512" t="s">
        <v>4948</v>
      </c>
      <c r="I169" s="541" t="s">
        <v>3282</v>
      </c>
      <c r="J169" s="557" t="s">
        <v>2604</v>
      </c>
      <c r="K169" s="558" t="s">
        <v>3581</v>
      </c>
      <c r="L169" s="95"/>
      <c r="M169" s="104"/>
      <c r="N169" s="137">
        <v>49687.67</v>
      </c>
      <c r="O169" s="138">
        <v>40000</v>
      </c>
      <c r="P169" s="138">
        <v>69000</v>
      </c>
      <c r="Q169" s="138">
        <v>69000</v>
      </c>
      <c r="R169" s="138">
        <v>69000</v>
      </c>
      <c r="S169" s="139">
        <v>69000</v>
      </c>
      <c r="T169" s="322">
        <f t="shared" si="31"/>
        <v>19312.330000000002</v>
      </c>
      <c r="U169" s="140">
        <f t="shared" si="32"/>
        <v>0.38867449409481269</v>
      </c>
      <c r="V169" s="322">
        <f t="shared" si="28"/>
        <v>29000</v>
      </c>
      <c r="W169" s="140">
        <f t="shared" si="33"/>
        <v>0.72499999999999998</v>
      </c>
      <c r="X169" s="322">
        <f t="shared" si="34"/>
        <v>0</v>
      </c>
      <c r="Y169" s="140">
        <f t="shared" si="35"/>
        <v>0</v>
      </c>
      <c r="Z169" s="519">
        <v>51442.6</v>
      </c>
      <c r="AA169" s="111">
        <f t="shared" si="29"/>
        <v>68590.133333333331</v>
      </c>
      <c r="AB169" s="111">
        <f t="shared" si="30"/>
        <v>409.86666666666861</v>
      </c>
    </row>
    <row r="170" spans="1:28" ht="29.25" customHeight="1">
      <c r="A170" s="114" t="s">
        <v>3283</v>
      </c>
      <c r="B170" s="125" t="s">
        <v>2086</v>
      </c>
      <c r="C170" s="97" t="s">
        <v>2759</v>
      </c>
      <c r="D170" s="97" t="s">
        <v>1379</v>
      </c>
      <c r="E170" s="540" t="s">
        <v>4441</v>
      </c>
      <c r="F170" s="540" t="s">
        <v>4586</v>
      </c>
      <c r="G170" s="555" t="s">
        <v>1353</v>
      </c>
      <c r="H170" s="512" t="s">
        <v>4949</v>
      </c>
      <c r="I170" s="541" t="s">
        <v>3284</v>
      </c>
      <c r="J170" s="557" t="s">
        <v>2604</v>
      </c>
      <c r="K170" s="558" t="s">
        <v>3581</v>
      </c>
      <c r="L170" s="95"/>
      <c r="M170" s="104"/>
      <c r="N170" s="137">
        <v>0</v>
      </c>
      <c r="O170" s="138">
        <v>0</v>
      </c>
      <c r="P170" s="138">
        <v>0</v>
      </c>
      <c r="Q170" s="138">
        <v>0</v>
      </c>
      <c r="R170" s="138">
        <v>0</v>
      </c>
      <c r="S170" s="139">
        <v>0</v>
      </c>
      <c r="T170" s="322">
        <f t="shared" si="31"/>
        <v>0</v>
      </c>
      <c r="U170" s="140" t="str">
        <f t="shared" si="32"/>
        <v/>
      </c>
      <c r="V170" s="322">
        <f t="shared" si="28"/>
        <v>0</v>
      </c>
      <c r="W170" s="140" t="str">
        <f t="shared" si="33"/>
        <v/>
      </c>
      <c r="X170" s="322">
        <f t="shared" si="34"/>
        <v>0</v>
      </c>
      <c r="Y170" s="140" t="str">
        <f t="shared" si="35"/>
        <v/>
      </c>
      <c r="Z170" s="519">
        <v>0</v>
      </c>
      <c r="AA170" s="111">
        <f t="shared" si="29"/>
        <v>0</v>
      </c>
      <c r="AB170" s="111">
        <f t="shared" si="30"/>
        <v>0</v>
      </c>
    </row>
    <row r="171" spans="1:28" ht="29.25" customHeight="1">
      <c r="A171" s="114" t="s">
        <v>4442</v>
      </c>
      <c r="B171" s="126" t="s">
        <v>2086</v>
      </c>
      <c r="C171" s="98" t="s">
        <v>2759</v>
      </c>
      <c r="D171" s="98" t="s">
        <v>2467</v>
      </c>
      <c r="E171" s="540" t="s">
        <v>4443</v>
      </c>
      <c r="F171" s="540" t="s">
        <v>4444</v>
      </c>
      <c r="G171" s="511" t="s">
        <v>1352</v>
      </c>
      <c r="H171" s="512" t="s">
        <v>4950</v>
      </c>
      <c r="I171" s="541" t="s">
        <v>4951</v>
      </c>
      <c r="J171" s="542" t="s">
        <v>2604</v>
      </c>
      <c r="K171" s="551" t="s">
        <v>3581</v>
      </c>
      <c r="L171" s="95"/>
      <c r="M171" s="104"/>
      <c r="N171" s="137">
        <v>0</v>
      </c>
      <c r="O171" s="138">
        <v>0</v>
      </c>
      <c r="P171" s="138">
        <v>0</v>
      </c>
      <c r="Q171" s="138">
        <v>0</v>
      </c>
      <c r="R171" s="138">
        <v>0</v>
      </c>
      <c r="S171" s="139">
        <v>0</v>
      </c>
      <c r="T171" s="322">
        <f t="shared" si="31"/>
        <v>0</v>
      </c>
      <c r="U171" s="140" t="str">
        <f t="shared" si="32"/>
        <v/>
      </c>
      <c r="V171" s="322">
        <f t="shared" si="28"/>
        <v>0</v>
      </c>
      <c r="W171" s="140" t="str">
        <f t="shared" si="33"/>
        <v/>
      </c>
      <c r="X171" s="322">
        <f t="shared" si="34"/>
        <v>0</v>
      </c>
      <c r="Y171" s="140" t="str">
        <f t="shared" si="35"/>
        <v/>
      </c>
      <c r="Z171" s="519">
        <v>0</v>
      </c>
      <c r="AA171" s="111">
        <f t="shared" si="29"/>
        <v>0</v>
      </c>
      <c r="AB171" s="111">
        <f t="shared" si="30"/>
        <v>0</v>
      </c>
    </row>
    <row r="172" spans="1:28" ht="33.75">
      <c r="A172" s="114" t="s">
        <v>3285</v>
      </c>
      <c r="B172" s="126" t="s">
        <v>2086</v>
      </c>
      <c r="C172" s="98" t="s">
        <v>2759</v>
      </c>
      <c r="D172" s="98" t="s">
        <v>3193</v>
      </c>
      <c r="E172" s="540" t="s">
        <v>4445</v>
      </c>
      <c r="F172" s="540" t="s">
        <v>4587</v>
      </c>
      <c r="G172" s="511" t="s">
        <v>1355</v>
      </c>
      <c r="H172" s="512" t="s">
        <v>4953</v>
      </c>
      <c r="I172" s="541" t="s">
        <v>3287</v>
      </c>
      <c r="J172" s="542" t="s">
        <v>2604</v>
      </c>
      <c r="K172" s="558" t="s">
        <v>3581</v>
      </c>
      <c r="L172" s="95"/>
      <c r="M172" s="104"/>
      <c r="N172" s="137">
        <v>0</v>
      </c>
      <c r="O172" s="138">
        <v>0</v>
      </c>
      <c r="P172" s="138">
        <v>0</v>
      </c>
      <c r="Q172" s="138">
        <v>0</v>
      </c>
      <c r="R172" s="138">
        <v>0</v>
      </c>
      <c r="S172" s="139">
        <v>0</v>
      </c>
      <c r="T172" s="322">
        <f t="shared" si="31"/>
        <v>0</v>
      </c>
      <c r="U172" s="140" t="str">
        <f t="shared" si="32"/>
        <v/>
      </c>
      <c r="V172" s="322">
        <f t="shared" si="28"/>
        <v>0</v>
      </c>
      <c r="W172" s="140" t="str">
        <f t="shared" si="33"/>
        <v/>
      </c>
      <c r="X172" s="322">
        <f t="shared" si="34"/>
        <v>0</v>
      </c>
      <c r="Y172" s="140" t="str">
        <f t="shared" si="35"/>
        <v/>
      </c>
      <c r="Z172" s="519">
        <v>0</v>
      </c>
      <c r="AA172" s="111">
        <f t="shared" si="29"/>
        <v>0</v>
      </c>
      <c r="AB172" s="111">
        <f t="shared" si="30"/>
        <v>0</v>
      </c>
    </row>
    <row r="173" spans="1:28" ht="29.25" customHeight="1">
      <c r="A173" s="114" t="s">
        <v>3288</v>
      </c>
      <c r="B173" s="126" t="s">
        <v>2086</v>
      </c>
      <c r="C173" s="98" t="s">
        <v>2759</v>
      </c>
      <c r="D173" s="98" t="s">
        <v>2631</v>
      </c>
      <c r="E173" s="540" t="s">
        <v>4446</v>
      </c>
      <c r="F173" s="540" t="s">
        <v>3471</v>
      </c>
      <c r="G173" s="511" t="s">
        <v>1354</v>
      </c>
      <c r="H173" s="512" t="s">
        <v>4947</v>
      </c>
      <c r="I173" s="541" t="s">
        <v>3469</v>
      </c>
      <c r="J173" s="542" t="s">
        <v>2604</v>
      </c>
      <c r="K173" s="558" t="s">
        <v>3581</v>
      </c>
      <c r="L173" s="95"/>
      <c r="M173" s="104"/>
      <c r="N173" s="137">
        <v>40296.629999999997</v>
      </c>
      <c r="O173" s="138">
        <v>40000</v>
      </c>
      <c r="P173" s="138">
        <v>40000</v>
      </c>
      <c r="Q173" s="138">
        <v>40000</v>
      </c>
      <c r="R173" s="138">
        <v>40000</v>
      </c>
      <c r="S173" s="139">
        <v>40000</v>
      </c>
      <c r="T173" s="322">
        <f t="shared" si="31"/>
        <v>-296.62999999999738</v>
      </c>
      <c r="U173" s="140">
        <f t="shared" si="32"/>
        <v>-7.3611614668521261E-3</v>
      </c>
      <c r="V173" s="322">
        <f t="shared" si="28"/>
        <v>0</v>
      </c>
      <c r="W173" s="140">
        <f t="shared" si="33"/>
        <v>0</v>
      </c>
      <c r="X173" s="322">
        <f t="shared" si="34"/>
        <v>0</v>
      </c>
      <c r="Y173" s="140">
        <f t="shared" si="35"/>
        <v>0</v>
      </c>
      <c r="Z173" s="519">
        <v>29668.78</v>
      </c>
      <c r="AA173" s="111">
        <f t="shared" si="29"/>
        <v>39558.373333333329</v>
      </c>
      <c r="AB173" s="111">
        <f t="shared" si="30"/>
        <v>441.62666666667064</v>
      </c>
    </row>
    <row r="174" spans="1:28" ht="37.5" customHeight="1">
      <c r="A174" s="114" t="s">
        <v>4447</v>
      </c>
      <c r="B174" s="126" t="s">
        <v>2086</v>
      </c>
      <c r="C174" s="98" t="s">
        <v>2759</v>
      </c>
      <c r="D174" s="98" t="s">
        <v>1404</v>
      </c>
      <c r="E174" s="540" t="s">
        <v>4448</v>
      </c>
      <c r="F174" s="540" t="s">
        <v>4449</v>
      </c>
      <c r="G174" s="511" t="s">
        <v>182</v>
      </c>
      <c r="H174" s="511" t="s">
        <v>3433</v>
      </c>
      <c r="I174" s="544" t="s">
        <v>3434</v>
      </c>
      <c r="J174" s="542" t="s">
        <v>2869</v>
      </c>
      <c r="K174" s="543" t="s">
        <v>2871</v>
      </c>
      <c r="L174" s="95"/>
      <c r="M174" s="104"/>
      <c r="N174" s="137">
        <v>0</v>
      </c>
      <c r="O174" s="138">
        <v>0</v>
      </c>
      <c r="P174" s="138">
        <v>0</v>
      </c>
      <c r="Q174" s="138">
        <v>0</v>
      </c>
      <c r="R174" s="138">
        <v>0</v>
      </c>
      <c r="S174" s="139">
        <v>0</v>
      </c>
      <c r="T174" s="322">
        <f t="shared" si="31"/>
        <v>0</v>
      </c>
      <c r="U174" s="140" t="str">
        <f t="shared" si="32"/>
        <v/>
      </c>
      <c r="V174" s="322">
        <f t="shared" si="28"/>
        <v>0</v>
      </c>
      <c r="W174" s="140" t="str">
        <f t="shared" si="33"/>
        <v/>
      </c>
      <c r="X174" s="322">
        <f t="shared" si="34"/>
        <v>0</v>
      </c>
      <c r="Y174" s="140" t="str">
        <f t="shared" si="35"/>
        <v/>
      </c>
      <c r="Z174" s="519">
        <v>0</v>
      </c>
      <c r="AA174" s="111">
        <f t="shared" si="29"/>
        <v>0</v>
      </c>
      <c r="AB174" s="111">
        <f t="shared" si="30"/>
        <v>0</v>
      </c>
    </row>
    <row r="175" spans="1:28" ht="37.5" customHeight="1">
      <c r="A175" s="114" t="s">
        <v>4450</v>
      </c>
      <c r="B175" s="126" t="s">
        <v>2086</v>
      </c>
      <c r="C175" s="98" t="s">
        <v>2759</v>
      </c>
      <c r="D175" s="98" t="s">
        <v>1405</v>
      </c>
      <c r="E175" s="540" t="s">
        <v>5418</v>
      </c>
      <c r="F175" s="540" t="s">
        <v>4588</v>
      </c>
      <c r="G175" s="511" t="s">
        <v>186</v>
      </c>
      <c r="H175" s="511" t="s">
        <v>3080</v>
      </c>
      <c r="I175" s="544" t="s">
        <v>3081</v>
      </c>
      <c r="J175" s="542" t="s">
        <v>2869</v>
      </c>
      <c r="K175" s="543" t="s">
        <v>2871</v>
      </c>
      <c r="L175" s="95"/>
      <c r="M175" s="104"/>
      <c r="N175" s="361">
        <v>1486000</v>
      </c>
      <c r="O175" s="318">
        <v>1203000</v>
      </c>
      <c r="P175" s="318">
        <v>1203000</v>
      </c>
      <c r="Q175" s="318">
        <v>1973000</v>
      </c>
      <c r="R175" s="318">
        <v>1973000</v>
      </c>
      <c r="S175" s="319">
        <v>1973000</v>
      </c>
      <c r="T175" s="322">
        <f t="shared" si="31"/>
        <v>487000</v>
      </c>
      <c r="U175" s="140">
        <f t="shared" si="32"/>
        <v>0.32772543741588156</v>
      </c>
      <c r="V175" s="322">
        <f t="shared" si="28"/>
        <v>770000</v>
      </c>
      <c r="W175" s="140">
        <f t="shared" si="33"/>
        <v>0.64006650041562763</v>
      </c>
      <c r="X175" s="322">
        <f t="shared" si="34"/>
        <v>770000</v>
      </c>
      <c r="Y175" s="140">
        <f t="shared" si="35"/>
        <v>0.64006650041562763</v>
      </c>
      <c r="Z175" s="519">
        <v>902000</v>
      </c>
      <c r="AA175" s="111">
        <f t="shared" si="29"/>
        <v>1202666.6666666667</v>
      </c>
      <c r="AB175" s="111">
        <f t="shared" si="30"/>
        <v>333.33333333325572</v>
      </c>
    </row>
    <row r="176" spans="1:28" ht="36" customHeight="1">
      <c r="A176" s="115" t="s">
        <v>4954</v>
      </c>
      <c r="B176" s="308" t="s">
        <v>2086</v>
      </c>
      <c r="C176" s="307" t="s">
        <v>4955</v>
      </c>
      <c r="D176" s="307" t="s">
        <v>3185</v>
      </c>
      <c r="E176" s="560" t="s">
        <v>5217</v>
      </c>
      <c r="F176" s="560" t="s">
        <v>5419</v>
      </c>
      <c r="G176" s="548"/>
      <c r="H176" s="548"/>
      <c r="I176" s="549"/>
      <c r="J176" s="550"/>
      <c r="K176" s="551"/>
      <c r="L176" s="95"/>
      <c r="M176" s="104"/>
      <c r="N176" s="137">
        <v>0</v>
      </c>
      <c r="O176" s="138">
        <v>0</v>
      </c>
      <c r="P176" s="138">
        <v>0</v>
      </c>
      <c r="Q176" s="138">
        <v>0</v>
      </c>
      <c r="R176" s="138">
        <v>0</v>
      </c>
      <c r="S176" s="139">
        <v>0</v>
      </c>
      <c r="T176" s="322">
        <f t="shared" ref="T176:T186" si="36">IF(N176="","",Q176-N176)</f>
        <v>0</v>
      </c>
      <c r="U176" s="140" t="str">
        <f t="shared" ref="U176:U186" si="37">IF(N176=0,"",T176/N176)</f>
        <v/>
      </c>
      <c r="V176" s="322">
        <f t="shared" si="28"/>
        <v>0</v>
      </c>
      <c r="W176" s="140" t="str">
        <f t="shared" ref="W176:W186" si="38">IF(O176=0,"",V176/O176)</f>
        <v/>
      </c>
      <c r="X176" s="322">
        <f t="shared" ref="X176:X186" si="39">IF(P176="","",Q176-P176)</f>
        <v>0</v>
      </c>
      <c r="Y176" s="140" t="str">
        <f t="shared" ref="Y176:Y186" si="40">IF(P176=0,"",X176/P176)</f>
        <v/>
      </c>
      <c r="Z176" s="519">
        <v>0</v>
      </c>
      <c r="AA176" s="111">
        <f t="shared" si="29"/>
        <v>0</v>
      </c>
      <c r="AB176" s="111">
        <f t="shared" si="30"/>
        <v>0</v>
      </c>
    </row>
    <row r="177" spans="1:28" ht="48.75" customHeight="1">
      <c r="A177" s="114" t="s">
        <v>4956</v>
      </c>
      <c r="B177" s="305" t="s">
        <v>2086</v>
      </c>
      <c r="C177" s="306" t="s">
        <v>4955</v>
      </c>
      <c r="D177" s="306" t="s">
        <v>4957</v>
      </c>
      <c r="E177" s="561" t="s">
        <v>5420</v>
      </c>
      <c r="F177" s="561" t="s">
        <v>5279</v>
      </c>
      <c r="G177" s="548" t="s">
        <v>4769</v>
      </c>
      <c r="H177" s="548" t="s">
        <v>3286</v>
      </c>
      <c r="I177" s="549" t="s">
        <v>4958</v>
      </c>
      <c r="J177" s="550" t="s">
        <v>2869</v>
      </c>
      <c r="K177" s="551" t="s">
        <v>2871</v>
      </c>
      <c r="L177" s="95"/>
      <c r="M177" s="104"/>
      <c r="N177" s="137">
        <v>0</v>
      </c>
      <c r="O177" s="138">
        <v>0</v>
      </c>
      <c r="P177" s="138">
        <v>0</v>
      </c>
      <c r="Q177" s="138">
        <v>0</v>
      </c>
      <c r="R177" s="138">
        <v>0</v>
      </c>
      <c r="S177" s="139">
        <v>0</v>
      </c>
      <c r="T177" s="322">
        <f t="shared" si="36"/>
        <v>0</v>
      </c>
      <c r="U177" s="140" t="str">
        <f t="shared" si="37"/>
        <v/>
      </c>
      <c r="V177" s="322">
        <f t="shared" si="28"/>
        <v>0</v>
      </c>
      <c r="W177" s="140" t="str">
        <f t="shared" si="38"/>
        <v/>
      </c>
      <c r="X177" s="322">
        <f t="shared" si="39"/>
        <v>0</v>
      </c>
      <c r="Y177" s="140" t="str">
        <f t="shared" si="40"/>
        <v/>
      </c>
      <c r="Z177" s="519">
        <v>0</v>
      </c>
      <c r="AA177" s="111">
        <f t="shared" si="29"/>
        <v>0</v>
      </c>
      <c r="AB177" s="111">
        <f t="shared" si="30"/>
        <v>0</v>
      </c>
    </row>
    <row r="178" spans="1:28" ht="48.75" customHeight="1">
      <c r="A178" s="114" t="s">
        <v>4959</v>
      </c>
      <c r="B178" s="305" t="s">
        <v>2086</v>
      </c>
      <c r="C178" s="306" t="s">
        <v>4955</v>
      </c>
      <c r="D178" s="306" t="s">
        <v>3099</v>
      </c>
      <c r="E178" s="561" t="s">
        <v>5218</v>
      </c>
      <c r="F178" s="561" t="s">
        <v>5280</v>
      </c>
      <c r="G178" s="548" t="s">
        <v>4774</v>
      </c>
      <c r="H178" s="548" t="s">
        <v>4960</v>
      </c>
      <c r="I178" s="549" t="s">
        <v>4961</v>
      </c>
      <c r="J178" s="550" t="s">
        <v>2604</v>
      </c>
      <c r="K178" s="551" t="s">
        <v>3581</v>
      </c>
      <c r="L178" s="95"/>
      <c r="M178" s="104"/>
      <c r="N178" s="137">
        <v>0</v>
      </c>
      <c r="O178" s="138">
        <v>0</v>
      </c>
      <c r="P178" s="138">
        <v>0</v>
      </c>
      <c r="Q178" s="138">
        <v>0</v>
      </c>
      <c r="R178" s="138">
        <v>0</v>
      </c>
      <c r="S178" s="139">
        <v>0</v>
      </c>
      <c r="T178" s="322">
        <f t="shared" si="36"/>
        <v>0</v>
      </c>
      <c r="U178" s="140" t="str">
        <f t="shared" si="37"/>
        <v/>
      </c>
      <c r="V178" s="322">
        <f t="shared" si="28"/>
        <v>0</v>
      </c>
      <c r="W178" s="140" t="str">
        <f t="shared" si="38"/>
        <v/>
      </c>
      <c r="X178" s="322">
        <f t="shared" si="39"/>
        <v>0</v>
      </c>
      <c r="Y178" s="140" t="str">
        <f t="shared" si="40"/>
        <v/>
      </c>
      <c r="Z178" s="519">
        <v>0</v>
      </c>
      <c r="AA178" s="111">
        <f t="shared" si="29"/>
        <v>0</v>
      </c>
      <c r="AB178" s="111">
        <f t="shared" si="30"/>
        <v>0</v>
      </c>
    </row>
    <row r="179" spans="1:28" ht="33" customHeight="1">
      <c r="A179" s="114" t="s">
        <v>4962</v>
      </c>
      <c r="B179" s="305" t="s">
        <v>2086</v>
      </c>
      <c r="C179" s="306" t="s">
        <v>4955</v>
      </c>
      <c r="D179" s="306" t="s">
        <v>3183</v>
      </c>
      <c r="E179" s="561" t="s">
        <v>5219</v>
      </c>
      <c r="F179" s="561" t="s">
        <v>4963</v>
      </c>
      <c r="G179" s="548" t="s">
        <v>4780</v>
      </c>
      <c r="H179" s="548" t="s">
        <v>4964</v>
      </c>
      <c r="I179" s="549" t="s">
        <v>4965</v>
      </c>
      <c r="J179" s="550" t="s">
        <v>2604</v>
      </c>
      <c r="K179" s="551" t="s">
        <v>3581</v>
      </c>
      <c r="L179" s="95"/>
      <c r="M179" s="104"/>
      <c r="N179" s="137">
        <v>0</v>
      </c>
      <c r="O179" s="138">
        <v>0</v>
      </c>
      <c r="P179" s="138">
        <v>0</v>
      </c>
      <c r="Q179" s="138">
        <v>0</v>
      </c>
      <c r="R179" s="138">
        <v>0</v>
      </c>
      <c r="S179" s="139">
        <v>0</v>
      </c>
      <c r="T179" s="322">
        <f t="shared" si="36"/>
        <v>0</v>
      </c>
      <c r="U179" s="140" t="str">
        <f t="shared" si="37"/>
        <v/>
      </c>
      <c r="V179" s="322">
        <f t="shared" si="28"/>
        <v>0</v>
      </c>
      <c r="W179" s="140" t="str">
        <f t="shared" si="38"/>
        <v/>
      </c>
      <c r="X179" s="322">
        <f t="shared" si="39"/>
        <v>0</v>
      </c>
      <c r="Y179" s="140" t="str">
        <f t="shared" si="40"/>
        <v/>
      </c>
      <c r="Z179" s="519">
        <v>0</v>
      </c>
      <c r="AA179" s="111">
        <f t="shared" si="29"/>
        <v>0</v>
      </c>
      <c r="AB179" s="111">
        <f t="shared" si="30"/>
        <v>0</v>
      </c>
    </row>
    <row r="180" spans="1:28" ht="44.25" customHeight="1">
      <c r="A180" s="114" t="s">
        <v>4966</v>
      </c>
      <c r="B180" s="305" t="s">
        <v>2086</v>
      </c>
      <c r="C180" s="306" t="s">
        <v>4955</v>
      </c>
      <c r="D180" s="306" t="s">
        <v>1378</v>
      </c>
      <c r="E180" s="561" t="s">
        <v>5220</v>
      </c>
      <c r="F180" s="561" t="s">
        <v>5281</v>
      </c>
      <c r="G180" s="548" t="s">
        <v>4777</v>
      </c>
      <c r="H180" s="548" t="s">
        <v>4967</v>
      </c>
      <c r="I180" s="549" t="s">
        <v>4968</v>
      </c>
      <c r="J180" s="550" t="s">
        <v>2604</v>
      </c>
      <c r="K180" s="551" t="s">
        <v>3581</v>
      </c>
      <c r="L180" s="95"/>
      <c r="M180" s="104"/>
      <c r="N180" s="137">
        <v>0</v>
      </c>
      <c r="O180" s="138">
        <v>0</v>
      </c>
      <c r="P180" s="138">
        <v>5000</v>
      </c>
      <c r="Q180" s="138">
        <v>5000</v>
      </c>
      <c r="R180" s="138">
        <v>5000</v>
      </c>
      <c r="S180" s="139">
        <v>5000</v>
      </c>
      <c r="T180" s="322">
        <f t="shared" si="36"/>
        <v>5000</v>
      </c>
      <c r="U180" s="140" t="str">
        <f t="shared" si="37"/>
        <v/>
      </c>
      <c r="V180" s="322">
        <f t="shared" si="28"/>
        <v>5000</v>
      </c>
      <c r="W180" s="140" t="str">
        <f t="shared" si="38"/>
        <v/>
      </c>
      <c r="X180" s="322">
        <f t="shared" si="39"/>
        <v>0</v>
      </c>
      <c r="Y180" s="140">
        <f t="shared" si="40"/>
        <v>0</v>
      </c>
      <c r="Z180" s="519">
        <v>3528</v>
      </c>
      <c r="AA180" s="111">
        <f t="shared" si="29"/>
        <v>4704</v>
      </c>
      <c r="AB180" s="522">
        <f t="shared" si="30"/>
        <v>296</v>
      </c>
    </row>
    <row r="181" spans="1:28" ht="45.75" customHeight="1">
      <c r="A181" s="114" t="s">
        <v>4969</v>
      </c>
      <c r="B181" s="305" t="s">
        <v>2086</v>
      </c>
      <c r="C181" s="306" t="s">
        <v>4955</v>
      </c>
      <c r="D181" s="306" t="s">
        <v>3193</v>
      </c>
      <c r="E181" s="561" t="s">
        <v>4970</v>
      </c>
      <c r="F181" s="561" t="s">
        <v>5282</v>
      </c>
      <c r="G181" s="548" t="s">
        <v>4783</v>
      </c>
      <c r="H181" s="548" t="s">
        <v>4971</v>
      </c>
      <c r="I181" s="549" t="s">
        <v>4972</v>
      </c>
      <c r="J181" s="550" t="s">
        <v>2604</v>
      </c>
      <c r="K181" s="551" t="s">
        <v>3581</v>
      </c>
      <c r="L181" s="95"/>
      <c r="M181" s="104"/>
      <c r="N181" s="137">
        <v>0</v>
      </c>
      <c r="O181" s="138">
        <v>0</v>
      </c>
      <c r="P181" s="138">
        <v>112000</v>
      </c>
      <c r="Q181" s="138">
        <v>112000</v>
      </c>
      <c r="R181" s="138">
        <v>112000</v>
      </c>
      <c r="S181" s="139">
        <v>112000</v>
      </c>
      <c r="T181" s="322">
        <f t="shared" si="36"/>
        <v>112000</v>
      </c>
      <c r="U181" s="140" t="str">
        <f t="shared" si="37"/>
        <v/>
      </c>
      <c r="V181" s="322">
        <f t="shared" si="28"/>
        <v>112000</v>
      </c>
      <c r="W181" s="140" t="str">
        <f t="shared" si="38"/>
        <v/>
      </c>
      <c r="X181" s="322">
        <f t="shared" si="39"/>
        <v>0</v>
      </c>
      <c r="Y181" s="140">
        <f t="shared" si="40"/>
        <v>0</v>
      </c>
      <c r="Z181" s="519">
        <v>83565.100000000006</v>
      </c>
      <c r="AA181" s="111">
        <f t="shared" si="29"/>
        <v>111420.13333333335</v>
      </c>
      <c r="AB181" s="522">
        <f t="shared" si="30"/>
        <v>579.86666666665406</v>
      </c>
    </row>
    <row r="182" spans="1:28" ht="42.75" customHeight="1">
      <c r="A182" s="114" t="s">
        <v>4973</v>
      </c>
      <c r="B182" s="305" t="s">
        <v>2086</v>
      </c>
      <c r="C182" s="306" t="s">
        <v>4955</v>
      </c>
      <c r="D182" s="306" t="s">
        <v>2631</v>
      </c>
      <c r="E182" s="561" t="s">
        <v>5221</v>
      </c>
      <c r="F182" s="561" t="s">
        <v>4974</v>
      </c>
      <c r="G182" s="548" t="s">
        <v>4774</v>
      </c>
      <c r="H182" s="548" t="s">
        <v>4960</v>
      </c>
      <c r="I182" s="549" t="s">
        <v>4961</v>
      </c>
      <c r="J182" s="550" t="s">
        <v>2604</v>
      </c>
      <c r="K182" s="551" t="s">
        <v>3581</v>
      </c>
      <c r="L182" s="95"/>
      <c r="M182" s="104"/>
      <c r="N182" s="137">
        <v>0</v>
      </c>
      <c r="O182" s="138">
        <v>0</v>
      </c>
      <c r="P182" s="138">
        <v>0</v>
      </c>
      <c r="Q182" s="138">
        <v>0</v>
      </c>
      <c r="R182" s="138">
        <v>0</v>
      </c>
      <c r="S182" s="139">
        <v>0</v>
      </c>
      <c r="T182" s="322">
        <f t="shared" si="36"/>
        <v>0</v>
      </c>
      <c r="U182" s="140" t="str">
        <f t="shared" si="37"/>
        <v/>
      </c>
      <c r="V182" s="322">
        <f t="shared" si="28"/>
        <v>0</v>
      </c>
      <c r="W182" s="140" t="str">
        <f t="shared" si="38"/>
        <v/>
      </c>
      <c r="X182" s="322">
        <f t="shared" si="39"/>
        <v>0</v>
      </c>
      <c r="Y182" s="140" t="str">
        <f t="shared" si="40"/>
        <v/>
      </c>
      <c r="Z182" s="519">
        <v>0</v>
      </c>
      <c r="AA182" s="111">
        <f t="shared" si="29"/>
        <v>0</v>
      </c>
      <c r="AB182" s="111">
        <f t="shared" si="30"/>
        <v>0</v>
      </c>
    </row>
    <row r="183" spans="1:28" ht="35.25" customHeight="1">
      <c r="A183" s="114" t="s">
        <v>4975</v>
      </c>
      <c r="B183" s="305" t="s">
        <v>2086</v>
      </c>
      <c r="C183" s="306" t="s">
        <v>4955</v>
      </c>
      <c r="D183" s="306" t="s">
        <v>1552</v>
      </c>
      <c r="E183" s="561" t="s">
        <v>5222</v>
      </c>
      <c r="F183" s="561" t="s">
        <v>5283</v>
      </c>
      <c r="G183" s="548" t="s">
        <v>4780</v>
      </c>
      <c r="H183" s="548" t="s">
        <v>4964</v>
      </c>
      <c r="I183" s="549" t="s">
        <v>4965</v>
      </c>
      <c r="J183" s="550" t="s">
        <v>2604</v>
      </c>
      <c r="K183" s="551" t="s">
        <v>3581</v>
      </c>
      <c r="L183" s="95"/>
      <c r="M183" s="104"/>
      <c r="N183" s="137">
        <v>0</v>
      </c>
      <c r="O183" s="138">
        <v>0</v>
      </c>
      <c r="P183" s="138">
        <v>0</v>
      </c>
      <c r="Q183" s="138">
        <v>0</v>
      </c>
      <c r="R183" s="138">
        <v>0</v>
      </c>
      <c r="S183" s="139">
        <v>0</v>
      </c>
      <c r="T183" s="322">
        <f t="shared" ref="T183" si="41">IF(N183="","",Q183-N183)</f>
        <v>0</v>
      </c>
      <c r="U183" s="140" t="str">
        <f t="shared" ref="U183" si="42">IF(N183=0,"",T183/N183)</f>
        <v/>
      </c>
      <c r="V183" s="322">
        <f t="shared" si="28"/>
        <v>0</v>
      </c>
      <c r="W183" s="140" t="str">
        <f t="shared" ref="W183" si="43">IF(O183=0,"",V183/O183)</f>
        <v/>
      </c>
      <c r="X183" s="322">
        <f t="shared" ref="X183" si="44">IF(P183="","",Q183-P183)</f>
        <v>0</v>
      </c>
      <c r="Y183" s="140" t="str">
        <f t="shared" ref="Y183" si="45">IF(P183=0,"",X183/P183)</f>
        <v/>
      </c>
      <c r="Z183" s="519">
        <v>0</v>
      </c>
      <c r="AA183" s="111">
        <f t="shared" si="29"/>
        <v>0</v>
      </c>
      <c r="AB183" s="111">
        <f t="shared" si="30"/>
        <v>0</v>
      </c>
    </row>
    <row r="184" spans="1:28" ht="48" customHeight="1">
      <c r="A184" s="114" t="s">
        <v>4976</v>
      </c>
      <c r="B184" s="305" t="s">
        <v>2086</v>
      </c>
      <c r="C184" s="306" t="s">
        <v>4955</v>
      </c>
      <c r="D184" s="306" t="s">
        <v>1404</v>
      </c>
      <c r="E184" s="561" t="s">
        <v>5223</v>
      </c>
      <c r="F184" s="561" t="s">
        <v>5284</v>
      </c>
      <c r="G184" s="548" t="s">
        <v>4777</v>
      </c>
      <c r="H184" s="548" t="s">
        <v>4967</v>
      </c>
      <c r="I184" s="549" t="s">
        <v>4968</v>
      </c>
      <c r="J184" s="550" t="s">
        <v>2604</v>
      </c>
      <c r="K184" s="551" t="s">
        <v>3581</v>
      </c>
      <c r="L184" s="95"/>
      <c r="M184" s="104"/>
      <c r="N184" s="137">
        <v>0</v>
      </c>
      <c r="O184" s="138">
        <v>0</v>
      </c>
      <c r="P184" s="138">
        <v>0</v>
      </c>
      <c r="Q184" s="138">
        <v>0</v>
      </c>
      <c r="R184" s="138">
        <v>0</v>
      </c>
      <c r="S184" s="139">
        <v>0</v>
      </c>
      <c r="T184" s="322">
        <f t="shared" si="36"/>
        <v>0</v>
      </c>
      <c r="U184" s="140" t="str">
        <f t="shared" si="37"/>
        <v/>
      </c>
      <c r="V184" s="322">
        <f t="shared" si="28"/>
        <v>0</v>
      </c>
      <c r="W184" s="140" t="str">
        <f t="shared" si="38"/>
        <v/>
      </c>
      <c r="X184" s="322">
        <f t="shared" si="39"/>
        <v>0</v>
      </c>
      <c r="Y184" s="140" t="str">
        <f t="shared" si="40"/>
        <v/>
      </c>
      <c r="Z184" s="519">
        <v>0</v>
      </c>
      <c r="AA184" s="111">
        <f t="shared" si="29"/>
        <v>0</v>
      </c>
      <c r="AB184" s="111">
        <f t="shared" si="30"/>
        <v>0</v>
      </c>
    </row>
    <row r="185" spans="1:28" ht="37.5" customHeight="1">
      <c r="A185" s="114" t="s">
        <v>4977</v>
      </c>
      <c r="B185" s="305" t="s">
        <v>2086</v>
      </c>
      <c r="C185" s="306" t="s">
        <v>4955</v>
      </c>
      <c r="D185" s="306" t="s">
        <v>1386</v>
      </c>
      <c r="E185" s="561" t="s">
        <v>4978</v>
      </c>
      <c r="F185" s="561" t="s">
        <v>5285</v>
      </c>
      <c r="G185" s="548" t="s">
        <v>4783</v>
      </c>
      <c r="H185" s="548" t="s">
        <v>4971</v>
      </c>
      <c r="I185" s="549" t="s">
        <v>4972</v>
      </c>
      <c r="J185" s="550" t="s">
        <v>2869</v>
      </c>
      <c r="K185" s="551" t="s">
        <v>2871</v>
      </c>
      <c r="L185" s="95"/>
      <c r="M185" s="104"/>
      <c r="N185" s="137">
        <v>0</v>
      </c>
      <c r="O185" s="138">
        <v>0</v>
      </c>
      <c r="P185" s="138">
        <v>0</v>
      </c>
      <c r="Q185" s="138">
        <v>0</v>
      </c>
      <c r="R185" s="138">
        <v>0</v>
      </c>
      <c r="S185" s="139">
        <v>0</v>
      </c>
      <c r="T185" s="322">
        <f t="shared" si="36"/>
        <v>0</v>
      </c>
      <c r="U185" s="140" t="str">
        <f t="shared" si="37"/>
        <v/>
      </c>
      <c r="V185" s="322">
        <f t="shared" si="28"/>
        <v>0</v>
      </c>
      <c r="W185" s="140" t="str">
        <f t="shared" si="38"/>
        <v/>
      </c>
      <c r="X185" s="322">
        <f t="shared" si="39"/>
        <v>0</v>
      </c>
      <c r="Y185" s="140" t="str">
        <f t="shared" si="40"/>
        <v/>
      </c>
      <c r="Z185" s="519">
        <v>0</v>
      </c>
      <c r="AA185" s="111">
        <f t="shared" si="29"/>
        <v>0</v>
      </c>
      <c r="AB185" s="111">
        <f t="shared" si="30"/>
        <v>0</v>
      </c>
    </row>
    <row r="186" spans="1:28" ht="45" customHeight="1">
      <c r="A186" s="114" t="s">
        <v>4979</v>
      </c>
      <c r="B186" s="305" t="s">
        <v>2086</v>
      </c>
      <c r="C186" s="306" t="s">
        <v>4955</v>
      </c>
      <c r="D186" s="306" t="s">
        <v>2291</v>
      </c>
      <c r="E186" s="561" t="s">
        <v>5286</v>
      </c>
      <c r="F186" s="561" t="s">
        <v>5287</v>
      </c>
      <c r="G186" s="548" t="s">
        <v>4786</v>
      </c>
      <c r="H186" s="548" t="s">
        <v>4980</v>
      </c>
      <c r="I186" s="549" t="s">
        <v>4981</v>
      </c>
      <c r="J186" s="550" t="s">
        <v>2869</v>
      </c>
      <c r="K186" s="551" t="s">
        <v>2871</v>
      </c>
      <c r="L186" s="95"/>
      <c r="M186" s="104"/>
      <c r="N186" s="137">
        <v>0</v>
      </c>
      <c r="O186" s="138">
        <v>0</v>
      </c>
      <c r="P186" s="138">
        <v>0</v>
      </c>
      <c r="Q186" s="138">
        <v>0</v>
      </c>
      <c r="R186" s="138">
        <v>0</v>
      </c>
      <c r="S186" s="139">
        <v>0</v>
      </c>
      <c r="T186" s="322">
        <f t="shared" si="36"/>
        <v>0</v>
      </c>
      <c r="U186" s="140" t="str">
        <f t="shared" si="37"/>
        <v/>
      </c>
      <c r="V186" s="322">
        <f t="shared" si="28"/>
        <v>0</v>
      </c>
      <c r="W186" s="140" t="str">
        <f t="shared" si="38"/>
        <v/>
      </c>
      <c r="X186" s="322">
        <f t="shared" si="39"/>
        <v>0</v>
      </c>
      <c r="Y186" s="140" t="str">
        <f t="shared" si="40"/>
        <v/>
      </c>
      <c r="Z186" s="519">
        <v>0</v>
      </c>
      <c r="AA186" s="111">
        <f t="shared" si="29"/>
        <v>0</v>
      </c>
      <c r="AB186" s="111">
        <f t="shared" si="30"/>
        <v>0</v>
      </c>
    </row>
    <row r="187" spans="1:28" ht="89.25" customHeight="1">
      <c r="A187" s="113" t="s">
        <v>2615</v>
      </c>
      <c r="B187" s="135" t="s">
        <v>3190</v>
      </c>
      <c r="C187" s="136" t="s">
        <v>3184</v>
      </c>
      <c r="D187" s="136" t="s">
        <v>3185</v>
      </c>
      <c r="E187" s="529" t="s">
        <v>4451</v>
      </c>
      <c r="F187" s="529" t="s">
        <v>5288</v>
      </c>
      <c r="G187" s="530"/>
      <c r="H187" s="530"/>
      <c r="I187" s="531"/>
      <c r="J187" s="532"/>
      <c r="K187" s="533"/>
      <c r="L187" s="95"/>
      <c r="M187" s="147"/>
      <c r="N187" s="137">
        <v>0</v>
      </c>
      <c r="O187" s="138">
        <v>0</v>
      </c>
      <c r="P187" s="138">
        <v>0</v>
      </c>
      <c r="Q187" s="138">
        <v>0</v>
      </c>
      <c r="R187" s="138">
        <v>0</v>
      </c>
      <c r="S187" s="139">
        <v>0</v>
      </c>
      <c r="T187" s="322">
        <f t="shared" si="31"/>
        <v>0</v>
      </c>
      <c r="U187" s="140" t="str">
        <f t="shared" si="32"/>
        <v/>
      </c>
      <c r="V187" s="322">
        <f t="shared" si="28"/>
        <v>0</v>
      </c>
      <c r="W187" s="140" t="str">
        <f t="shared" si="33"/>
        <v/>
      </c>
      <c r="X187" s="322">
        <f t="shared" si="34"/>
        <v>0</v>
      </c>
      <c r="Y187" s="140" t="str">
        <f t="shared" si="35"/>
        <v/>
      </c>
      <c r="Z187" s="519">
        <v>0</v>
      </c>
      <c r="AA187" s="111">
        <f t="shared" si="29"/>
        <v>0</v>
      </c>
      <c r="AB187" s="111">
        <f t="shared" si="30"/>
        <v>0</v>
      </c>
    </row>
    <row r="188" spans="1:28" ht="28.5" customHeight="1">
      <c r="A188" s="115" t="s">
        <v>2616</v>
      </c>
      <c r="B188" s="124" t="s">
        <v>3190</v>
      </c>
      <c r="C188" s="101" t="s">
        <v>3186</v>
      </c>
      <c r="D188" s="101" t="s">
        <v>3185</v>
      </c>
      <c r="E188" s="534" t="s">
        <v>3289</v>
      </c>
      <c r="F188" s="534" t="s">
        <v>4452</v>
      </c>
      <c r="G188" s="555"/>
      <c r="H188" s="555"/>
      <c r="I188" s="556"/>
      <c r="J188" s="557"/>
      <c r="K188" s="558"/>
      <c r="L188" s="95"/>
      <c r="M188" s="104"/>
      <c r="N188" s="137">
        <v>0</v>
      </c>
      <c r="O188" s="138">
        <v>0</v>
      </c>
      <c r="P188" s="138">
        <v>0</v>
      </c>
      <c r="Q188" s="138">
        <v>0</v>
      </c>
      <c r="R188" s="138">
        <v>0</v>
      </c>
      <c r="S188" s="139">
        <v>0</v>
      </c>
      <c r="T188" s="322">
        <f t="shared" si="31"/>
        <v>0</v>
      </c>
      <c r="U188" s="140" t="str">
        <f t="shared" si="32"/>
        <v/>
      </c>
      <c r="V188" s="322">
        <f t="shared" si="28"/>
        <v>0</v>
      </c>
      <c r="W188" s="140" t="str">
        <f t="shared" si="33"/>
        <v/>
      </c>
      <c r="X188" s="322">
        <f t="shared" si="34"/>
        <v>0</v>
      </c>
      <c r="Y188" s="140" t="str">
        <f t="shared" si="35"/>
        <v/>
      </c>
      <c r="Z188" s="519">
        <v>0</v>
      </c>
      <c r="AA188" s="111">
        <f t="shared" si="29"/>
        <v>0</v>
      </c>
      <c r="AB188" s="111">
        <f t="shared" si="30"/>
        <v>0</v>
      </c>
    </row>
    <row r="189" spans="1:28" ht="36.75" customHeight="1">
      <c r="A189" s="114" t="s">
        <v>5203</v>
      </c>
      <c r="B189" s="305" t="s">
        <v>3190</v>
      </c>
      <c r="C189" s="306" t="s">
        <v>3186</v>
      </c>
      <c r="D189" s="306" t="s">
        <v>4957</v>
      </c>
      <c r="E189" s="561" t="s">
        <v>5204</v>
      </c>
      <c r="F189" s="561" t="s">
        <v>5289</v>
      </c>
      <c r="G189" s="548" t="s">
        <v>60</v>
      </c>
      <c r="H189" s="548" t="s">
        <v>5205</v>
      </c>
      <c r="I189" s="549" t="s">
        <v>1247</v>
      </c>
      <c r="J189" s="550" t="s">
        <v>1951</v>
      </c>
      <c r="K189" s="551" t="s">
        <v>3586</v>
      </c>
      <c r="L189" s="95"/>
      <c r="M189" s="104"/>
      <c r="N189" s="137">
        <v>0</v>
      </c>
      <c r="O189" s="138">
        <v>0</v>
      </c>
      <c r="P189" s="138">
        <v>0</v>
      </c>
      <c r="Q189" s="138">
        <v>0</v>
      </c>
      <c r="R189" s="138">
        <v>0</v>
      </c>
      <c r="S189" s="139">
        <v>0</v>
      </c>
      <c r="T189" s="322">
        <f t="shared" si="31"/>
        <v>0</v>
      </c>
      <c r="U189" s="140" t="str">
        <f t="shared" si="32"/>
        <v/>
      </c>
      <c r="V189" s="322">
        <f t="shared" si="28"/>
        <v>0</v>
      </c>
      <c r="W189" s="140" t="str">
        <f t="shared" si="33"/>
        <v/>
      </c>
      <c r="X189" s="322">
        <f t="shared" si="34"/>
        <v>0</v>
      </c>
      <c r="Y189" s="140" t="str">
        <f t="shared" si="35"/>
        <v/>
      </c>
      <c r="Z189" s="519">
        <v>0</v>
      </c>
      <c r="AA189" s="111">
        <f t="shared" si="29"/>
        <v>0</v>
      </c>
      <c r="AB189" s="111">
        <f t="shared" si="30"/>
        <v>0</v>
      </c>
    </row>
    <row r="190" spans="1:28" ht="36.75" customHeight="1">
      <c r="A190" s="114" t="s">
        <v>5206</v>
      </c>
      <c r="B190" s="305" t="s">
        <v>3190</v>
      </c>
      <c r="C190" s="306" t="s">
        <v>3186</v>
      </c>
      <c r="D190" s="306" t="s">
        <v>5207</v>
      </c>
      <c r="E190" s="561" t="s">
        <v>5208</v>
      </c>
      <c r="F190" s="561" t="s">
        <v>5290</v>
      </c>
      <c r="G190" s="548" t="s">
        <v>62</v>
      </c>
      <c r="H190" s="548" t="s">
        <v>5209</v>
      </c>
      <c r="I190" s="549" t="s">
        <v>3437</v>
      </c>
      <c r="J190" s="550" t="s">
        <v>1951</v>
      </c>
      <c r="K190" s="551" t="s">
        <v>3586</v>
      </c>
      <c r="L190" s="95"/>
      <c r="M190" s="104"/>
      <c r="N190" s="137">
        <v>0</v>
      </c>
      <c r="O190" s="138">
        <v>0</v>
      </c>
      <c r="P190" s="138">
        <v>0</v>
      </c>
      <c r="Q190" s="138">
        <v>0</v>
      </c>
      <c r="R190" s="138">
        <v>0</v>
      </c>
      <c r="S190" s="139">
        <v>0</v>
      </c>
      <c r="T190" s="322">
        <f t="shared" ref="T190:T191" si="46">IF(N190="","",Q190-N190)</f>
        <v>0</v>
      </c>
      <c r="U190" s="140" t="str">
        <f t="shared" ref="U190:U191" si="47">IF(N190=0,"",T190/N190)</f>
        <v/>
      </c>
      <c r="V190" s="322">
        <f t="shared" si="28"/>
        <v>0</v>
      </c>
      <c r="W190" s="140" t="str">
        <f t="shared" ref="W190:W191" si="48">IF(O190=0,"",V190/O190)</f>
        <v/>
      </c>
      <c r="X190" s="322">
        <f t="shared" ref="X190:X191" si="49">IF(P190="","",Q190-P190)</f>
        <v>0</v>
      </c>
      <c r="Y190" s="140" t="str">
        <f t="shared" ref="Y190:Y191" si="50">IF(P190=0,"",X190/P190)</f>
        <v/>
      </c>
      <c r="Z190" s="519">
        <v>0</v>
      </c>
      <c r="AA190" s="111">
        <f t="shared" si="29"/>
        <v>0</v>
      </c>
      <c r="AB190" s="111">
        <f t="shared" si="30"/>
        <v>0</v>
      </c>
    </row>
    <row r="191" spans="1:28" ht="28.5" customHeight="1">
      <c r="A191" s="114" t="s">
        <v>2617</v>
      </c>
      <c r="B191" s="125" t="s">
        <v>3190</v>
      </c>
      <c r="C191" s="97" t="s">
        <v>3186</v>
      </c>
      <c r="D191" s="97" t="s">
        <v>3183</v>
      </c>
      <c r="E191" s="540" t="s">
        <v>3289</v>
      </c>
      <c r="F191" s="540" t="s">
        <v>4452</v>
      </c>
      <c r="G191" s="555" t="s">
        <v>64</v>
      </c>
      <c r="H191" s="555" t="s">
        <v>3290</v>
      </c>
      <c r="I191" s="556" t="s">
        <v>1251</v>
      </c>
      <c r="J191" s="557" t="s">
        <v>1951</v>
      </c>
      <c r="K191" s="558" t="s">
        <v>3586</v>
      </c>
      <c r="L191" s="95"/>
      <c r="M191" s="104"/>
      <c r="N191" s="137">
        <v>6124812.4400000004</v>
      </c>
      <c r="O191" s="138">
        <v>6575000</v>
      </c>
      <c r="P191" s="138">
        <v>6575000</v>
      </c>
      <c r="Q191" s="138">
        <v>6904000</v>
      </c>
      <c r="R191" s="138">
        <v>7249000</v>
      </c>
      <c r="S191" s="139">
        <v>7611000</v>
      </c>
      <c r="T191" s="322">
        <f t="shared" si="46"/>
        <v>779187.55999999959</v>
      </c>
      <c r="U191" s="140">
        <f t="shared" si="47"/>
        <v>0.12721819119084724</v>
      </c>
      <c r="V191" s="322">
        <f t="shared" si="28"/>
        <v>329000</v>
      </c>
      <c r="W191" s="140">
        <f t="shared" si="48"/>
        <v>5.0038022813688215E-2</v>
      </c>
      <c r="X191" s="322">
        <f t="shared" si="49"/>
        <v>329000</v>
      </c>
      <c r="Y191" s="140">
        <f t="shared" si="50"/>
        <v>5.0038022813688215E-2</v>
      </c>
      <c r="Z191" s="519">
        <v>4931696.6399999997</v>
      </c>
      <c r="AA191" s="111">
        <f t="shared" si="29"/>
        <v>6575595.5199999996</v>
      </c>
      <c r="AB191" s="111">
        <f t="shared" si="30"/>
        <v>-595.51999999955297</v>
      </c>
    </row>
    <row r="192" spans="1:28" ht="28.5" customHeight="1">
      <c r="A192" s="115" t="s">
        <v>4453</v>
      </c>
      <c r="B192" s="127" t="s">
        <v>3190</v>
      </c>
      <c r="C192" s="99" t="s">
        <v>2759</v>
      </c>
      <c r="D192" s="99" t="s">
        <v>3185</v>
      </c>
      <c r="E192" s="534" t="s">
        <v>4454</v>
      </c>
      <c r="F192" s="534" t="s">
        <v>5605</v>
      </c>
      <c r="G192" s="511"/>
      <c r="H192" s="511"/>
      <c r="I192" s="544"/>
      <c r="J192" s="542"/>
      <c r="K192" s="543"/>
      <c r="L192" s="95"/>
      <c r="M192" s="104"/>
      <c r="N192" s="137">
        <v>0</v>
      </c>
      <c r="O192" s="138">
        <v>0</v>
      </c>
      <c r="P192" s="138">
        <v>0</v>
      </c>
      <c r="Q192" s="138">
        <v>0</v>
      </c>
      <c r="R192" s="138">
        <v>0</v>
      </c>
      <c r="S192" s="139">
        <v>0</v>
      </c>
      <c r="T192" s="322">
        <f t="shared" si="31"/>
        <v>0</v>
      </c>
      <c r="U192" s="140" t="str">
        <f t="shared" si="32"/>
        <v/>
      </c>
      <c r="V192" s="322">
        <f t="shared" si="28"/>
        <v>0</v>
      </c>
      <c r="W192" s="140" t="str">
        <f t="shared" si="33"/>
        <v/>
      </c>
      <c r="X192" s="322">
        <f t="shared" si="34"/>
        <v>0</v>
      </c>
      <c r="Y192" s="140" t="str">
        <f t="shared" si="35"/>
        <v/>
      </c>
      <c r="Z192" s="519">
        <v>0</v>
      </c>
      <c r="AA192" s="111">
        <f t="shared" si="29"/>
        <v>0</v>
      </c>
      <c r="AB192" s="111">
        <f t="shared" si="30"/>
        <v>0</v>
      </c>
    </row>
    <row r="193" spans="1:28" ht="46.5" customHeight="1">
      <c r="A193" s="114" t="s">
        <v>4455</v>
      </c>
      <c r="B193" s="126" t="s">
        <v>3190</v>
      </c>
      <c r="C193" s="98" t="s">
        <v>2759</v>
      </c>
      <c r="D193" s="98" t="s">
        <v>3183</v>
      </c>
      <c r="E193" s="540" t="s">
        <v>4456</v>
      </c>
      <c r="F193" s="540" t="s">
        <v>4457</v>
      </c>
      <c r="G193" s="511" t="s">
        <v>1362</v>
      </c>
      <c r="H193" s="511" t="s">
        <v>2776</v>
      </c>
      <c r="I193" s="544" t="s">
        <v>2777</v>
      </c>
      <c r="J193" s="542" t="s">
        <v>2024</v>
      </c>
      <c r="K193" s="543" t="s">
        <v>3582</v>
      </c>
      <c r="L193" s="95"/>
      <c r="M193" s="104"/>
      <c r="N193" s="137">
        <v>0</v>
      </c>
      <c r="O193" s="138">
        <v>0</v>
      </c>
      <c r="P193" s="138">
        <v>0</v>
      </c>
      <c r="Q193" s="138">
        <v>0</v>
      </c>
      <c r="R193" s="138">
        <v>0</v>
      </c>
      <c r="S193" s="139">
        <v>0</v>
      </c>
      <c r="T193" s="322">
        <f t="shared" si="31"/>
        <v>0</v>
      </c>
      <c r="U193" s="140" t="str">
        <f t="shared" si="32"/>
        <v/>
      </c>
      <c r="V193" s="322">
        <f t="shared" si="28"/>
        <v>0</v>
      </c>
      <c r="W193" s="140" t="str">
        <f t="shared" si="33"/>
        <v/>
      </c>
      <c r="X193" s="322">
        <f t="shared" si="34"/>
        <v>0</v>
      </c>
      <c r="Y193" s="140" t="str">
        <f t="shared" si="35"/>
        <v/>
      </c>
      <c r="Z193" s="519">
        <v>0</v>
      </c>
      <c r="AA193" s="111">
        <f t="shared" si="29"/>
        <v>0</v>
      </c>
      <c r="AB193" s="111">
        <f t="shared" si="30"/>
        <v>0</v>
      </c>
    </row>
    <row r="194" spans="1:28" ht="28.5" customHeight="1">
      <c r="A194" s="115" t="s">
        <v>2619</v>
      </c>
      <c r="B194" s="124" t="s">
        <v>3190</v>
      </c>
      <c r="C194" s="101" t="s">
        <v>3187</v>
      </c>
      <c r="D194" s="101" t="s">
        <v>3185</v>
      </c>
      <c r="E194" s="534" t="s">
        <v>4458</v>
      </c>
      <c r="F194" s="534" t="s">
        <v>4459</v>
      </c>
      <c r="G194" s="555"/>
      <c r="H194" s="555"/>
      <c r="I194" s="556"/>
      <c r="J194" s="557"/>
      <c r="K194" s="558"/>
      <c r="L194" s="95"/>
      <c r="M194" s="104"/>
      <c r="N194" s="137">
        <v>0</v>
      </c>
      <c r="O194" s="138">
        <v>0</v>
      </c>
      <c r="P194" s="138">
        <v>0</v>
      </c>
      <c r="Q194" s="138">
        <v>0</v>
      </c>
      <c r="R194" s="138">
        <v>0</v>
      </c>
      <c r="S194" s="139">
        <v>0</v>
      </c>
      <c r="T194" s="322">
        <f t="shared" si="31"/>
        <v>0</v>
      </c>
      <c r="U194" s="140" t="str">
        <f t="shared" si="32"/>
        <v/>
      </c>
      <c r="V194" s="322">
        <f t="shared" si="28"/>
        <v>0</v>
      </c>
      <c r="W194" s="140" t="str">
        <f t="shared" si="33"/>
        <v/>
      </c>
      <c r="X194" s="322">
        <f t="shared" si="34"/>
        <v>0</v>
      </c>
      <c r="Y194" s="140" t="str">
        <f t="shared" si="35"/>
        <v/>
      </c>
      <c r="Z194" s="519">
        <v>0</v>
      </c>
      <c r="AA194" s="111">
        <f t="shared" si="29"/>
        <v>0</v>
      </c>
      <c r="AB194" s="111">
        <f t="shared" si="30"/>
        <v>0</v>
      </c>
    </row>
    <row r="195" spans="1:28" ht="36.75" customHeight="1">
      <c r="A195" s="114" t="s">
        <v>4460</v>
      </c>
      <c r="B195" s="126" t="s">
        <v>3190</v>
      </c>
      <c r="C195" s="98" t="s">
        <v>3187</v>
      </c>
      <c r="D195" s="98" t="s">
        <v>3099</v>
      </c>
      <c r="E195" s="540" t="s">
        <v>4461</v>
      </c>
      <c r="F195" s="540" t="s">
        <v>4462</v>
      </c>
      <c r="G195" s="511" t="s">
        <v>42</v>
      </c>
      <c r="H195" s="511" t="s">
        <v>2771</v>
      </c>
      <c r="I195" s="544" t="s">
        <v>3449</v>
      </c>
      <c r="J195" s="542" t="s">
        <v>2024</v>
      </c>
      <c r="K195" s="543" t="s">
        <v>3582</v>
      </c>
      <c r="L195" s="95"/>
      <c r="M195" s="104"/>
      <c r="N195" s="137">
        <v>0</v>
      </c>
      <c r="O195" s="138">
        <v>0</v>
      </c>
      <c r="P195" s="138">
        <v>0</v>
      </c>
      <c r="Q195" s="138">
        <v>0</v>
      </c>
      <c r="R195" s="138">
        <v>0</v>
      </c>
      <c r="S195" s="139">
        <v>0</v>
      </c>
      <c r="T195" s="322">
        <f t="shared" si="31"/>
        <v>0</v>
      </c>
      <c r="U195" s="140" t="str">
        <f t="shared" si="32"/>
        <v/>
      </c>
      <c r="V195" s="322">
        <f t="shared" si="28"/>
        <v>0</v>
      </c>
      <c r="W195" s="140" t="str">
        <f t="shared" si="33"/>
        <v/>
      </c>
      <c r="X195" s="322">
        <f t="shared" si="34"/>
        <v>0</v>
      </c>
      <c r="Y195" s="140" t="str">
        <f t="shared" si="35"/>
        <v/>
      </c>
      <c r="Z195" s="519">
        <v>0</v>
      </c>
      <c r="AA195" s="111">
        <f t="shared" si="29"/>
        <v>0</v>
      </c>
      <c r="AB195" s="111">
        <f t="shared" si="30"/>
        <v>0</v>
      </c>
    </row>
    <row r="196" spans="1:28" ht="36.75" customHeight="1">
      <c r="A196" s="114" t="s">
        <v>2620</v>
      </c>
      <c r="B196" s="125" t="s">
        <v>3190</v>
      </c>
      <c r="C196" s="97" t="s">
        <v>3187</v>
      </c>
      <c r="D196" s="97" t="s">
        <v>3183</v>
      </c>
      <c r="E196" s="540" t="s">
        <v>3291</v>
      </c>
      <c r="F196" s="540" t="s">
        <v>2770</v>
      </c>
      <c r="G196" s="555" t="s">
        <v>42</v>
      </c>
      <c r="H196" s="555" t="s">
        <v>2771</v>
      </c>
      <c r="I196" s="556" t="s">
        <v>3449</v>
      </c>
      <c r="J196" s="557" t="s">
        <v>2024</v>
      </c>
      <c r="K196" s="558" t="s">
        <v>3582</v>
      </c>
      <c r="L196" s="95"/>
      <c r="M196" s="104"/>
      <c r="N196" s="137">
        <v>3528</v>
      </c>
      <c r="O196" s="138">
        <v>0</v>
      </c>
      <c r="P196" s="138">
        <v>0</v>
      </c>
      <c r="Q196" s="138">
        <v>0</v>
      </c>
      <c r="R196" s="138">
        <v>0</v>
      </c>
      <c r="S196" s="139">
        <v>0</v>
      </c>
      <c r="T196" s="322">
        <f t="shared" si="31"/>
        <v>-3528</v>
      </c>
      <c r="U196" s="140">
        <f t="shared" si="32"/>
        <v>-1</v>
      </c>
      <c r="V196" s="322">
        <f t="shared" si="28"/>
        <v>0</v>
      </c>
      <c r="W196" s="140" t="str">
        <f t="shared" si="33"/>
        <v/>
      </c>
      <c r="X196" s="322">
        <f t="shared" si="34"/>
        <v>0</v>
      </c>
      <c r="Y196" s="140" t="str">
        <f t="shared" si="35"/>
        <v/>
      </c>
      <c r="Z196" s="519">
        <v>3528</v>
      </c>
      <c r="AA196" s="111">
        <f t="shared" si="29"/>
        <v>4704</v>
      </c>
      <c r="AB196" s="111">
        <f t="shared" si="30"/>
        <v>-4704</v>
      </c>
    </row>
    <row r="197" spans="1:28" ht="42">
      <c r="A197" s="114" t="s">
        <v>2772</v>
      </c>
      <c r="B197" s="125" t="s">
        <v>3190</v>
      </c>
      <c r="C197" s="97" t="s">
        <v>3187</v>
      </c>
      <c r="D197" s="97" t="s">
        <v>3193</v>
      </c>
      <c r="E197" s="540" t="s">
        <v>5421</v>
      </c>
      <c r="F197" s="540" t="s">
        <v>2773</v>
      </c>
      <c r="G197" s="555" t="s">
        <v>44</v>
      </c>
      <c r="H197" s="555" t="s">
        <v>2774</v>
      </c>
      <c r="I197" s="556" t="s">
        <v>2775</v>
      </c>
      <c r="J197" s="557" t="s">
        <v>2024</v>
      </c>
      <c r="K197" s="558" t="s">
        <v>3582</v>
      </c>
      <c r="L197" s="95"/>
      <c r="M197" s="104"/>
      <c r="N197" s="137">
        <v>94486.1</v>
      </c>
      <c r="O197" s="138">
        <v>103000</v>
      </c>
      <c r="P197" s="138">
        <v>112000</v>
      </c>
      <c r="Q197" s="138">
        <v>112000</v>
      </c>
      <c r="R197" s="138">
        <v>112000</v>
      </c>
      <c r="S197" s="139">
        <v>112000</v>
      </c>
      <c r="T197" s="322">
        <f t="shared" si="31"/>
        <v>17513.899999999994</v>
      </c>
      <c r="U197" s="140">
        <f t="shared" si="32"/>
        <v>0.18535953965715585</v>
      </c>
      <c r="V197" s="322">
        <f t="shared" si="28"/>
        <v>9000</v>
      </c>
      <c r="W197" s="140">
        <f t="shared" si="33"/>
        <v>8.7378640776699032E-2</v>
      </c>
      <c r="X197" s="322">
        <f t="shared" si="34"/>
        <v>0</v>
      </c>
      <c r="Y197" s="140">
        <f t="shared" si="35"/>
        <v>0</v>
      </c>
      <c r="Z197" s="519">
        <v>83565.100000000006</v>
      </c>
      <c r="AA197" s="111">
        <f t="shared" si="29"/>
        <v>111420.13333333335</v>
      </c>
      <c r="AB197" s="111">
        <f t="shared" si="30"/>
        <v>579.86666666665406</v>
      </c>
    </row>
    <row r="198" spans="1:28" ht="36.75" customHeight="1">
      <c r="A198" s="115" t="s">
        <v>2621</v>
      </c>
      <c r="B198" s="124" t="s">
        <v>3190</v>
      </c>
      <c r="C198" s="101" t="s">
        <v>3189</v>
      </c>
      <c r="D198" s="101" t="s">
        <v>3185</v>
      </c>
      <c r="E198" s="534" t="s">
        <v>4463</v>
      </c>
      <c r="F198" s="534" t="s">
        <v>4464</v>
      </c>
      <c r="G198" s="555"/>
      <c r="H198" s="555"/>
      <c r="I198" s="556"/>
      <c r="J198" s="557"/>
      <c r="K198" s="558"/>
      <c r="L198" s="95"/>
      <c r="M198" s="104"/>
      <c r="N198" s="137">
        <v>0</v>
      </c>
      <c r="O198" s="138">
        <v>0</v>
      </c>
      <c r="P198" s="138">
        <v>0</v>
      </c>
      <c r="Q198" s="138">
        <v>0</v>
      </c>
      <c r="R198" s="138">
        <v>0</v>
      </c>
      <c r="S198" s="139">
        <v>0</v>
      </c>
      <c r="T198" s="322">
        <f t="shared" si="31"/>
        <v>0</v>
      </c>
      <c r="U198" s="140" t="str">
        <f t="shared" si="32"/>
        <v/>
      </c>
      <c r="V198" s="322">
        <f t="shared" si="28"/>
        <v>0</v>
      </c>
      <c r="W198" s="140" t="str">
        <f t="shared" si="33"/>
        <v/>
      </c>
      <c r="X198" s="322">
        <f t="shared" si="34"/>
        <v>0</v>
      </c>
      <c r="Y198" s="140" t="str">
        <f t="shared" si="35"/>
        <v/>
      </c>
      <c r="Z198" s="519">
        <v>0</v>
      </c>
      <c r="AA198" s="111">
        <f t="shared" si="29"/>
        <v>0</v>
      </c>
      <c r="AB198" s="111">
        <f t="shared" si="30"/>
        <v>0</v>
      </c>
    </row>
    <row r="199" spans="1:28" ht="36.75" customHeight="1">
      <c r="A199" s="114" t="s">
        <v>2622</v>
      </c>
      <c r="B199" s="313" t="s">
        <v>3190</v>
      </c>
      <c r="C199" s="314" t="s">
        <v>3189</v>
      </c>
      <c r="D199" s="314" t="s">
        <v>3183</v>
      </c>
      <c r="E199" s="563" t="s">
        <v>2778</v>
      </c>
      <c r="F199" s="563" t="s">
        <v>3144</v>
      </c>
      <c r="G199" s="564" t="s">
        <v>661</v>
      </c>
      <c r="H199" s="512" t="s">
        <v>2782</v>
      </c>
      <c r="I199" s="565" t="s">
        <v>3449</v>
      </c>
      <c r="J199" s="566" t="s">
        <v>3599</v>
      </c>
      <c r="K199" s="567" t="s">
        <v>3601</v>
      </c>
      <c r="L199" s="95"/>
      <c r="M199" s="104"/>
      <c r="N199" s="137">
        <v>0</v>
      </c>
      <c r="O199" s="138">
        <v>0</v>
      </c>
      <c r="P199" s="138">
        <v>0</v>
      </c>
      <c r="Q199" s="138">
        <v>0</v>
      </c>
      <c r="R199" s="138">
        <v>0</v>
      </c>
      <c r="S199" s="139">
        <v>0</v>
      </c>
      <c r="T199" s="322">
        <f t="shared" si="31"/>
        <v>0</v>
      </c>
      <c r="U199" s="140" t="str">
        <f t="shared" si="32"/>
        <v/>
      </c>
      <c r="V199" s="322">
        <f t="shared" si="28"/>
        <v>0</v>
      </c>
      <c r="W199" s="140" t="str">
        <f t="shared" si="33"/>
        <v/>
      </c>
      <c r="X199" s="322">
        <f t="shared" si="34"/>
        <v>0</v>
      </c>
      <c r="Y199" s="140" t="str">
        <f t="shared" si="35"/>
        <v/>
      </c>
      <c r="Z199" s="519">
        <v>0</v>
      </c>
      <c r="AA199" s="111">
        <f t="shared" si="29"/>
        <v>0</v>
      </c>
      <c r="AB199" s="111">
        <f t="shared" si="30"/>
        <v>0</v>
      </c>
    </row>
    <row r="200" spans="1:28" ht="36.75" customHeight="1">
      <c r="A200" s="114" t="s">
        <v>2780</v>
      </c>
      <c r="B200" s="313" t="s">
        <v>3190</v>
      </c>
      <c r="C200" s="314" t="s">
        <v>3189</v>
      </c>
      <c r="D200" s="314" t="s">
        <v>3193</v>
      </c>
      <c r="E200" s="563" t="s">
        <v>2781</v>
      </c>
      <c r="F200" s="563" t="s">
        <v>3145</v>
      </c>
      <c r="G200" s="564" t="s">
        <v>662</v>
      </c>
      <c r="H200" s="512" t="s">
        <v>4982</v>
      </c>
      <c r="I200" s="565" t="s">
        <v>2783</v>
      </c>
      <c r="J200" s="566" t="s">
        <v>3599</v>
      </c>
      <c r="K200" s="567" t="s">
        <v>3601</v>
      </c>
      <c r="L200" s="95"/>
      <c r="M200" s="104"/>
      <c r="N200" s="137">
        <v>0</v>
      </c>
      <c r="O200" s="138">
        <v>0</v>
      </c>
      <c r="P200" s="138">
        <v>0</v>
      </c>
      <c r="Q200" s="138">
        <v>0</v>
      </c>
      <c r="R200" s="138">
        <v>0</v>
      </c>
      <c r="S200" s="139">
        <v>0</v>
      </c>
      <c r="T200" s="322">
        <f t="shared" si="31"/>
        <v>0</v>
      </c>
      <c r="U200" s="140" t="str">
        <f t="shared" si="32"/>
        <v/>
      </c>
      <c r="V200" s="322">
        <f t="shared" si="28"/>
        <v>0</v>
      </c>
      <c r="W200" s="140" t="str">
        <f t="shared" si="33"/>
        <v/>
      </c>
      <c r="X200" s="322">
        <f t="shared" si="34"/>
        <v>0</v>
      </c>
      <c r="Y200" s="140" t="str">
        <f t="shared" si="35"/>
        <v/>
      </c>
      <c r="Z200" s="519">
        <v>0</v>
      </c>
      <c r="AA200" s="111">
        <f t="shared" si="29"/>
        <v>0</v>
      </c>
      <c r="AB200" s="111">
        <f t="shared" si="30"/>
        <v>0</v>
      </c>
    </row>
    <row r="201" spans="1:28" ht="36.75" customHeight="1">
      <c r="A201" s="114" t="s">
        <v>4465</v>
      </c>
      <c r="B201" s="126" t="s">
        <v>3190</v>
      </c>
      <c r="C201" s="98" t="s">
        <v>3189</v>
      </c>
      <c r="D201" s="98" t="s">
        <v>2631</v>
      </c>
      <c r="E201" s="540" t="s">
        <v>4466</v>
      </c>
      <c r="F201" s="540" t="s">
        <v>4467</v>
      </c>
      <c r="G201" s="511" t="s">
        <v>661</v>
      </c>
      <c r="H201" s="512" t="s">
        <v>2782</v>
      </c>
      <c r="I201" s="544" t="s">
        <v>3449</v>
      </c>
      <c r="J201" s="542" t="s">
        <v>3599</v>
      </c>
      <c r="K201" s="543" t="s">
        <v>3601</v>
      </c>
      <c r="L201" s="95"/>
      <c r="M201" s="104"/>
      <c r="N201" s="137">
        <v>1714767.88</v>
      </c>
      <c r="O201" s="138">
        <v>1500000</v>
      </c>
      <c r="P201" s="138">
        <v>1724000</v>
      </c>
      <c r="Q201" s="138">
        <v>1800000</v>
      </c>
      <c r="R201" s="138">
        <v>1800000</v>
      </c>
      <c r="S201" s="139">
        <v>1800000</v>
      </c>
      <c r="T201" s="322">
        <f t="shared" si="31"/>
        <v>85232.120000000112</v>
      </c>
      <c r="U201" s="140">
        <f t="shared" si="32"/>
        <v>4.9704756541159446E-2</v>
      </c>
      <c r="V201" s="322">
        <f t="shared" ref="V201:V264" si="51">IF(O201="","",Q201-O201)</f>
        <v>300000</v>
      </c>
      <c r="W201" s="140">
        <f t="shared" si="33"/>
        <v>0.2</v>
      </c>
      <c r="X201" s="322">
        <f t="shared" si="34"/>
        <v>76000</v>
      </c>
      <c r="Y201" s="140">
        <f t="shared" si="35"/>
        <v>4.4083526682134569E-2</v>
      </c>
      <c r="Z201" s="519">
        <v>1304562.4000000001</v>
      </c>
      <c r="AA201" s="111">
        <f t="shared" ref="AA201:AA264" si="52">Z201/3*4</f>
        <v>1739416.5333333334</v>
      </c>
      <c r="AB201" s="111">
        <f t="shared" ref="AB201:AB264" si="53">P201-AA201</f>
        <v>-15416.533333333442</v>
      </c>
    </row>
    <row r="202" spans="1:28" ht="36.75" customHeight="1">
      <c r="A202" s="114" t="s">
        <v>4468</v>
      </c>
      <c r="B202" s="126" t="s">
        <v>3190</v>
      </c>
      <c r="C202" s="98" t="s">
        <v>3189</v>
      </c>
      <c r="D202" s="98" t="s">
        <v>1404</v>
      </c>
      <c r="E202" s="540" t="s">
        <v>4469</v>
      </c>
      <c r="F202" s="540" t="s">
        <v>4470</v>
      </c>
      <c r="G202" s="511" t="s">
        <v>658</v>
      </c>
      <c r="H202" s="511" t="s">
        <v>2791</v>
      </c>
      <c r="I202" s="544" t="s">
        <v>2792</v>
      </c>
      <c r="J202" s="542" t="s">
        <v>3599</v>
      </c>
      <c r="K202" s="543" t="s">
        <v>3601</v>
      </c>
      <c r="L202" s="95"/>
      <c r="M202" s="104"/>
      <c r="N202" s="137">
        <v>0</v>
      </c>
      <c r="O202" s="138">
        <v>30000</v>
      </c>
      <c r="P202" s="138">
        <v>0</v>
      </c>
      <c r="Q202" s="138">
        <v>0</v>
      </c>
      <c r="R202" s="138">
        <v>0</v>
      </c>
      <c r="S202" s="139">
        <v>0</v>
      </c>
      <c r="T202" s="322">
        <f t="shared" si="31"/>
        <v>0</v>
      </c>
      <c r="U202" s="140" t="str">
        <f t="shared" si="32"/>
        <v/>
      </c>
      <c r="V202" s="322">
        <f t="shared" si="51"/>
        <v>-30000</v>
      </c>
      <c r="W202" s="140">
        <f t="shared" si="33"/>
        <v>-1</v>
      </c>
      <c r="X202" s="322">
        <f t="shared" si="34"/>
        <v>0</v>
      </c>
      <c r="Y202" s="140" t="str">
        <f t="shared" si="35"/>
        <v/>
      </c>
      <c r="Z202" s="519">
        <v>0</v>
      </c>
      <c r="AA202" s="111">
        <f t="shared" si="52"/>
        <v>0</v>
      </c>
      <c r="AB202" s="111">
        <f t="shared" si="53"/>
        <v>0</v>
      </c>
    </row>
    <row r="203" spans="1:28" ht="42">
      <c r="A203" s="114" t="s">
        <v>4471</v>
      </c>
      <c r="B203" s="126" t="s">
        <v>3190</v>
      </c>
      <c r="C203" s="98" t="s">
        <v>3189</v>
      </c>
      <c r="D203" s="98" t="s">
        <v>1405</v>
      </c>
      <c r="E203" s="540" t="s">
        <v>4472</v>
      </c>
      <c r="F203" s="540" t="s">
        <v>4473</v>
      </c>
      <c r="G203" s="511" t="s">
        <v>660</v>
      </c>
      <c r="H203" s="512" t="s">
        <v>2779</v>
      </c>
      <c r="I203" s="544" t="s">
        <v>2267</v>
      </c>
      <c r="J203" s="542" t="s">
        <v>3599</v>
      </c>
      <c r="K203" s="543" t="s">
        <v>3601</v>
      </c>
      <c r="L203" s="95"/>
      <c r="M203" s="104"/>
      <c r="N203" s="137">
        <v>0</v>
      </c>
      <c r="O203" s="138">
        <v>0</v>
      </c>
      <c r="P203" s="138">
        <v>0</v>
      </c>
      <c r="Q203" s="138">
        <v>0</v>
      </c>
      <c r="R203" s="138">
        <v>0</v>
      </c>
      <c r="S203" s="139">
        <v>0</v>
      </c>
      <c r="T203" s="322">
        <f t="shared" si="31"/>
        <v>0</v>
      </c>
      <c r="U203" s="140" t="str">
        <f t="shared" si="32"/>
        <v/>
      </c>
      <c r="V203" s="322">
        <f t="shared" si="51"/>
        <v>0</v>
      </c>
      <c r="W203" s="140" t="str">
        <f t="shared" si="33"/>
        <v/>
      </c>
      <c r="X203" s="322">
        <f t="shared" si="34"/>
        <v>0</v>
      </c>
      <c r="Y203" s="140" t="str">
        <f t="shared" si="35"/>
        <v/>
      </c>
      <c r="Z203" s="519">
        <v>0</v>
      </c>
      <c r="AA203" s="111">
        <f t="shared" si="52"/>
        <v>0</v>
      </c>
      <c r="AB203" s="111">
        <f t="shared" si="53"/>
        <v>0</v>
      </c>
    </row>
    <row r="204" spans="1:28" ht="38.25" customHeight="1">
      <c r="A204" s="114" t="s">
        <v>4474</v>
      </c>
      <c r="B204" s="126" t="s">
        <v>3190</v>
      </c>
      <c r="C204" s="98" t="s">
        <v>3189</v>
      </c>
      <c r="D204" s="98" t="s">
        <v>2291</v>
      </c>
      <c r="E204" s="540" t="s">
        <v>4475</v>
      </c>
      <c r="F204" s="540" t="s">
        <v>4476</v>
      </c>
      <c r="G204" s="511" t="s">
        <v>661</v>
      </c>
      <c r="H204" s="512" t="s">
        <v>2782</v>
      </c>
      <c r="I204" s="544" t="s">
        <v>3449</v>
      </c>
      <c r="J204" s="542" t="s">
        <v>3599</v>
      </c>
      <c r="K204" s="543" t="s">
        <v>3601</v>
      </c>
      <c r="L204" s="95"/>
      <c r="M204" s="104"/>
      <c r="N204" s="137">
        <v>1146667.47</v>
      </c>
      <c r="O204" s="138">
        <v>1200000</v>
      </c>
      <c r="P204" s="138">
        <v>1300000</v>
      </c>
      <c r="Q204" s="138">
        <v>1300000</v>
      </c>
      <c r="R204" s="138">
        <v>1300000</v>
      </c>
      <c r="S204" s="139">
        <v>1300000</v>
      </c>
      <c r="T204" s="322">
        <f t="shared" si="31"/>
        <v>153332.53000000003</v>
      </c>
      <c r="U204" s="140">
        <f t="shared" si="32"/>
        <v>0.13372013596932336</v>
      </c>
      <c r="V204" s="322">
        <f t="shared" si="51"/>
        <v>100000</v>
      </c>
      <c r="W204" s="140">
        <f t="shared" si="33"/>
        <v>8.3333333333333329E-2</v>
      </c>
      <c r="X204" s="322">
        <f t="shared" si="34"/>
        <v>0</v>
      </c>
      <c r="Y204" s="140">
        <f t="shared" si="35"/>
        <v>0</v>
      </c>
      <c r="Z204" s="519">
        <v>1031147.49</v>
      </c>
      <c r="AA204" s="111">
        <f t="shared" si="52"/>
        <v>1374863.32</v>
      </c>
      <c r="AB204" s="522">
        <f t="shared" si="53"/>
        <v>-74863.320000000065</v>
      </c>
    </row>
    <row r="205" spans="1:28" ht="42">
      <c r="A205" s="114" t="s">
        <v>4477</v>
      </c>
      <c r="B205" s="126" t="s">
        <v>3190</v>
      </c>
      <c r="C205" s="98" t="s">
        <v>3189</v>
      </c>
      <c r="D205" s="98" t="s">
        <v>1693</v>
      </c>
      <c r="E205" s="540" t="s">
        <v>4478</v>
      </c>
      <c r="F205" s="540" t="s">
        <v>4479</v>
      </c>
      <c r="G205" s="511" t="s">
        <v>662</v>
      </c>
      <c r="H205" s="512" t="s">
        <v>4982</v>
      </c>
      <c r="I205" s="544" t="s">
        <v>2783</v>
      </c>
      <c r="J205" s="542" t="s">
        <v>3599</v>
      </c>
      <c r="K205" s="543" t="s">
        <v>3601</v>
      </c>
      <c r="L205" s="95"/>
      <c r="M205" s="104"/>
      <c r="N205" s="137">
        <v>1066944.49</v>
      </c>
      <c r="O205" s="138">
        <v>1047000</v>
      </c>
      <c r="P205" s="138">
        <v>1273000</v>
      </c>
      <c r="Q205" s="138">
        <v>1273000</v>
      </c>
      <c r="R205" s="138">
        <v>1273000</v>
      </c>
      <c r="S205" s="139">
        <v>1273000</v>
      </c>
      <c r="T205" s="322">
        <f t="shared" si="31"/>
        <v>206055.51</v>
      </c>
      <c r="U205" s="140">
        <f t="shared" si="32"/>
        <v>0.19312673895527593</v>
      </c>
      <c r="V205" s="322">
        <f t="shared" si="51"/>
        <v>226000</v>
      </c>
      <c r="W205" s="140">
        <f t="shared" si="33"/>
        <v>0.21585482330468003</v>
      </c>
      <c r="X205" s="322">
        <f t="shared" si="34"/>
        <v>0</v>
      </c>
      <c r="Y205" s="140">
        <f t="shared" si="35"/>
        <v>0</v>
      </c>
      <c r="Z205" s="519">
        <v>957636.09</v>
      </c>
      <c r="AA205" s="111">
        <f t="shared" si="52"/>
        <v>1276848.1199999999</v>
      </c>
      <c r="AB205" s="111">
        <f t="shared" si="53"/>
        <v>-3848.1199999998789</v>
      </c>
    </row>
    <row r="206" spans="1:28" ht="28.5" customHeight="1">
      <c r="A206" s="115" t="s">
        <v>2623</v>
      </c>
      <c r="B206" s="124" t="s">
        <v>3190</v>
      </c>
      <c r="C206" s="101" t="s">
        <v>3190</v>
      </c>
      <c r="D206" s="101" t="s">
        <v>3185</v>
      </c>
      <c r="E206" s="534" t="s">
        <v>4480</v>
      </c>
      <c r="F206" s="534" t="s">
        <v>4481</v>
      </c>
      <c r="G206" s="555"/>
      <c r="H206" s="555"/>
      <c r="I206" s="556"/>
      <c r="J206" s="557"/>
      <c r="K206" s="558"/>
      <c r="L206" s="95"/>
      <c r="M206" s="104"/>
      <c r="N206" s="137">
        <v>0</v>
      </c>
      <c r="O206" s="138">
        <v>0</v>
      </c>
      <c r="P206" s="138">
        <v>0</v>
      </c>
      <c r="Q206" s="138">
        <v>0</v>
      </c>
      <c r="R206" s="138">
        <v>0</v>
      </c>
      <c r="S206" s="139">
        <v>0</v>
      </c>
      <c r="T206" s="322">
        <f t="shared" si="31"/>
        <v>0</v>
      </c>
      <c r="U206" s="140" t="str">
        <f t="shared" si="32"/>
        <v/>
      </c>
      <c r="V206" s="322">
        <f t="shared" si="51"/>
        <v>0</v>
      </c>
      <c r="W206" s="140" t="str">
        <f t="shared" si="33"/>
        <v/>
      </c>
      <c r="X206" s="322">
        <f t="shared" si="34"/>
        <v>0</v>
      </c>
      <c r="Y206" s="140" t="str">
        <f t="shared" si="35"/>
        <v/>
      </c>
      <c r="Z206" s="519">
        <v>0</v>
      </c>
      <c r="AA206" s="111">
        <f t="shared" si="52"/>
        <v>0</v>
      </c>
      <c r="AB206" s="111">
        <f t="shared" si="53"/>
        <v>0</v>
      </c>
    </row>
    <row r="207" spans="1:28" ht="36" customHeight="1">
      <c r="A207" s="114" t="s">
        <v>2624</v>
      </c>
      <c r="B207" s="313" t="s">
        <v>3190</v>
      </c>
      <c r="C207" s="314" t="s">
        <v>3190</v>
      </c>
      <c r="D207" s="314" t="s">
        <v>3183</v>
      </c>
      <c r="E207" s="563" t="s">
        <v>2784</v>
      </c>
      <c r="F207" s="563" t="s">
        <v>2785</v>
      </c>
      <c r="G207" s="564" t="s">
        <v>609</v>
      </c>
      <c r="H207" s="564" t="s">
        <v>2786</v>
      </c>
      <c r="I207" s="565" t="s">
        <v>3449</v>
      </c>
      <c r="J207" s="566" t="s">
        <v>2003</v>
      </c>
      <c r="K207" s="567" t="s">
        <v>3590</v>
      </c>
      <c r="L207" s="95"/>
      <c r="M207" s="104"/>
      <c r="N207" s="137">
        <v>0</v>
      </c>
      <c r="O207" s="138">
        <v>0</v>
      </c>
      <c r="P207" s="138">
        <v>0</v>
      </c>
      <c r="Q207" s="138">
        <v>0</v>
      </c>
      <c r="R207" s="138">
        <v>0</v>
      </c>
      <c r="S207" s="139">
        <v>0</v>
      </c>
      <c r="T207" s="322">
        <f t="shared" si="31"/>
        <v>0</v>
      </c>
      <c r="U207" s="140" t="str">
        <f t="shared" si="32"/>
        <v/>
      </c>
      <c r="V207" s="322">
        <f t="shared" si="51"/>
        <v>0</v>
      </c>
      <c r="W207" s="140" t="str">
        <f t="shared" si="33"/>
        <v/>
      </c>
      <c r="X207" s="322">
        <f t="shared" si="34"/>
        <v>0</v>
      </c>
      <c r="Y207" s="140" t="str">
        <f t="shared" si="35"/>
        <v/>
      </c>
      <c r="Z207" s="519">
        <v>0</v>
      </c>
      <c r="AA207" s="111">
        <f t="shared" si="52"/>
        <v>0</v>
      </c>
      <c r="AB207" s="111">
        <f t="shared" si="53"/>
        <v>0</v>
      </c>
    </row>
    <row r="208" spans="1:28" ht="42">
      <c r="A208" s="114" t="s">
        <v>2787</v>
      </c>
      <c r="B208" s="313" t="s">
        <v>3190</v>
      </c>
      <c r="C208" s="314" t="s">
        <v>3190</v>
      </c>
      <c r="D208" s="314" t="s">
        <v>3193</v>
      </c>
      <c r="E208" s="563" t="s">
        <v>2788</v>
      </c>
      <c r="F208" s="563" t="s">
        <v>2789</v>
      </c>
      <c r="G208" s="564" t="s">
        <v>611</v>
      </c>
      <c r="H208" s="564" t="s">
        <v>2790</v>
      </c>
      <c r="I208" s="565" t="s">
        <v>2783</v>
      </c>
      <c r="J208" s="566" t="s">
        <v>2003</v>
      </c>
      <c r="K208" s="567" t="s">
        <v>3590</v>
      </c>
      <c r="L208" s="95"/>
      <c r="M208" s="104"/>
      <c r="N208" s="137">
        <v>0</v>
      </c>
      <c r="O208" s="138">
        <v>0</v>
      </c>
      <c r="P208" s="138">
        <v>0</v>
      </c>
      <c r="Q208" s="138">
        <v>0</v>
      </c>
      <c r="R208" s="138">
        <v>0</v>
      </c>
      <c r="S208" s="139">
        <v>0</v>
      </c>
      <c r="T208" s="322">
        <f t="shared" si="31"/>
        <v>0</v>
      </c>
      <c r="U208" s="140" t="str">
        <f t="shared" si="32"/>
        <v/>
      </c>
      <c r="V208" s="322">
        <f t="shared" si="51"/>
        <v>0</v>
      </c>
      <c r="W208" s="140" t="str">
        <f t="shared" si="33"/>
        <v/>
      </c>
      <c r="X208" s="322">
        <f t="shared" si="34"/>
        <v>0</v>
      </c>
      <c r="Y208" s="140" t="str">
        <f t="shared" si="35"/>
        <v/>
      </c>
      <c r="Z208" s="519">
        <v>0</v>
      </c>
      <c r="AA208" s="111">
        <f t="shared" si="52"/>
        <v>0</v>
      </c>
      <c r="AB208" s="111">
        <f t="shared" si="53"/>
        <v>0</v>
      </c>
    </row>
    <row r="209" spans="1:28" ht="36" customHeight="1">
      <c r="A209" s="114" t="s">
        <v>4482</v>
      </c>
      <c r="B209" s="126" t="s">
        <v>3190</v>
      </c>
      <c r="C209" s="98" t="s">
        <v>3190</v>
      </c>
      <c r="D209" s="98" t="s">
        <v>2631</v>
      </c>
      <c r="E209" s="540" t="s">
        <v>4483</v>
      </c>
      <c r="F209" s="540" t="s">
        <v>5422</v>
      </c>
      <c r="G209" s="511" t="s">
        <v>605</v>
      </c>
      <c r="H209" s="511" t="s">
        <v>4484</v>
      </c>
      <c r="I209" s="544" t="s">
        <v>4485</v>
      </c>
      <c r="J209" s="542" t="s">
        <v>2003</v>
      </c>
      <c r="K209" s="543" t="s">
        <v>3590</v>
      </c>
      <c r="L209" s="95"/>
      <c r="M209" s="104"/>
      <c r="N209" s="137">
        <v>907570.4</v>
      </c>
      <c r="O209" s="138">
        <v>971000</v>
      </c>
      <c r="P209" s="138">
        <v>971000</v>
      </c>
      <c r="Q209" s="138">
        <v>971000</v>
      </c>
      <c r="R209" s="138">
        <v>971000</v>
      </c>
      <c r="S209" s="139">
        <v>971000</v>
      </c>
      <c r="T209" s="322">
        <f t="shared" si="31"/>
        <v>63429.599999999977</v>
      </c>
      <c r="U209" s="140">
        <f t="shared" si="32"/>
        <v>6.9889454305693502E-2</v>
      </c>
      <c r="V209" s="322">
        <f t="shared" si="51"/>
        <v>0</v>
      </c>
      <c r="W209" s="140">
        <f t="shared" si="33"/>
        <v>0</v>
      </c>
      <c r="X209" s="322">
        <f t="shared" si="34"/>
        <v>0</v>
      </c>
      <c r="Y209" s="140">
        <f t="shared" si="35"/>
        <v>0</v>
      </c>
      <c r="Z209" s="519">
        <v>803214.64</v>
      </c>
      <c r="AA209" s="111">
        <f t="shared" si="52"/>
        <v>1070952.8533333333</v>
      </c>
      <c r="AB209" s="522">
        <f t="shared" si="53"/>
        <v>-99952.853333333274</v>
      </c>
    </row>
    <row r="210" spans="1:28" ht="42">
      <c r="A210" s="114" t="s">
        <v>4486</v>
      </c>
      <c r="B210" s="126" t="s">
        <v>3190</v>
      </c>
      <c r="C210" s="98" t="s">
        <v>3190</v>
      </c>
      <c r="D210" s="98" t="s">
        <v>1404</v>
      </c>
      <c r="E210" s="540" t="s">
        <v>4487</v>
      </c>
      <c r="F210" s="540" t="s">
        <v>5423</v>
      </c>
      <c r="G210" s="512" t="s">
        <v>607</v>
      </c>
      <c r="H210" s="512" t="s">
        <v>4983</v>
      </c>
      <c r="I210" s="541" t="s">
        <v>4984</v>
      </c>
      <c r="J210" s="542" t="s">
        <v>2003</v>
      </c>
      <c r="K210" s="543" t="s">
        <v>3590</v>
      </c>
      <c r="L210" s="95"/>
      <c r="M210" s="104"/>
      <c r="N210" s="137">
        <v>1512693.5</v>
      </c>
      <c r="O210" s="138">
        <v>1500000</v>
      </c>
      <c r="P210" s="138">
        <v>1500000</v>
      </c>
      <c r="Q210" s="138">
        <v>1500000</v>
      </c>
      <c r="R210" s="138">
        <v>1500000</v>
      </c>
      <c r="S210" s="139">
        <v>1500000</v>
      </c>
      <c r="T210" s="322">
        <f t="shared" si="31"/>
        <v>-12693.5</v>
      </c>
      <c r="U210" s="140">
        <f t="shared" si="32"/>
        <v>-8.3913231596486667E-3</v>
      </c>
      <c r="V210" s="322">
        <f t="shared" si="51"/>
        <v>0</v>
      </c>
      <c r="W210" s="140">
        <f t="shared" si="33"/>
        <v>0</v>
      </c>
      <c r="X210" s="322">
        <f t="shared" si="34"/>
        <v>0</v>
      </c>
      <c r="Y210" s="140">
        <f t="shared" si="35"/>
        <v>0</v>
      </c>
      <c r="Z210" s="519">
        <v>1125329.25</v>
      </c>
      <c r="AA210" s="111">
        <f t="shared" si="52"/>
        <v>1500439</v>
      </c>
      <c r="AB210" s="111">
        <f t="shared" si="53"/>
        <v>-439</v>
      </c>
    </row>
    <row r="211" spans="1:28" ht="36" customHeight="1">
      <c r="A211" s="114" t="s">
        <v>4488</v>
      </c>
      <c r="B211" s="126" t="s">
        <v>3190</v>
      </c>
      <c r="C211" s="98" t="s">
        <v>3190</v>
      </c>
      <c r="D211" s="98" t="s">
        <v>1405</v>
      </c>
      <c r="E211" s="540" t="s">
        <v>4489</v>
      </c>
      <c r="F211" s="540" t="s">
        <v>5424</v>
      </c>
      <c r="G211" s="511" t="s">
        <v>609</v>
      </c>
      <c r="H211" s="511" t="s">
        <v>2786</v>
      </c>
      <c r="I211" s="544" t="s">
        <v>3449</v>
      </c>
      <c r="J211" s="542" t="s">
        <v>2003</v>
      </c>
      <c r="K211" s="543" t="s">
        <v>3590</v>
      </c>
      <c r="L211" s="95"/>
      <c r="M211" s="104"/>
      <c r="N211" s="137">
        <v>3791100.94</v>
      </c>
      <c r="O211" s="138">
        <v>3800000</v>
      </c>
      <c r="P211" s="138">
        <v>3800000</v>
      </c>
      <c r="Q211" s="138">
        <v>3800000</v>
      </c>
      <c r="R211" s="138">
        <v>3800000</v>
      </c>
      <c r="S211" s="139">
        <v>3800000</v>
      </c>
      <c r="T211" s="322">
        <f t="shared" si="31"/>
        <v>8899.0600000000559</v>
      </c>
      <c r="U211" s="140">
        <f t="shared" si="32"/>
        <v>2.347355066731633E-3</v>
      </c>
      <c r="V211" s="322">
        <f t="shared" si="51"/>
        <v>0</v>
      </c>
      <c r="W211" s="140">
        <f t="shared" si="33"/>
        <v>0</v>
      </c>
      <c r="X211" s="322">
        <f t="shared" si="34"/>
        <v>0</v>
      </c>
      <c r="Y211" s="140">
        <f t="shared" si="35"/>
        <v>0</v>
      </c>
      <c r="Z211" s="519">
        <v>2849826.54</v>
      </c>
      <c r="AA211" s="111">
        <f t="shared" si="52"/>
        <v>3799768.72</v>
      </c>
      <c r="AB211" s="111">
        <f t="shared" si="53"/>
        <v>231.27999999979511</v>
      </c>
    </row>
    <row r="212" spans="1:28" ht="42">
      <c r="A212" s="114" t="s">
        <v>4490</v>
      </c>
      <c r="B212" s="126" t="s">
        <v>3190</v>
      </c>
      <c r="C212" s="98" t="s">
        <v>3190</v>
      </c>
      <c r="D212" s="98" t="s">
        <v>2291</v>
      </c>
      <c r="E212" s="540" t="s">
        <v>4491</v>
      </c>
      <c r="F212" s="540" t="s">
        <v>5425</v>
      </c>
      <c r="G212" s="511" t="s">
        <v>611</v>
      </c>
      <c r="H212" s="511" t="s">
        <v>2790</v>
      </c>
      <c r="I212" s="544" t="s">
        <v>2783</v>
      </c>
      <c r="J212" s="542" t="s">
        <v>2003</v>
      </c>
      <c r="K212" s="543" t="s">
        <v>3590</v>
      </c>
      <c r="L212" s="95"/>
      <c r="M212" s="104"/>
      <c r="N212" s="137">
        <v>3840738.46</v>
      </c>
      <c r="O212" s="138">
        <v>3760000</v>
      </c>
      <c r="P212" s="138">
        <v>3900000</v>
      </c>
      <c r="Q212" s="138">
        <v>3900000</v>
      </c>
      <c r="R212" s="138">
        <v>3900000</v>
      </c>
      <c r="S212" s="139">
        <v>3900000</v>
      </c>
      <c r="T212" s="322">
        <f t="shared" si="31"/>
        <v>59261.540000000037</v>
      </c>
      <c r="U212" s="140">
        <f t="shared" si="32"/>
        <v>1.5429725459619044E-2</v>
      </c>
      <c r="V212" s="322">
        <f t="shared" si="51"/>
        <v>140000</v>
      </c>
      <c r="W212" s="140">
        <f t="shared" si="33"/>
        <v>3.7234042553191488E-2</v>
      </c>
      <c r="X212" s="322">
        <f t="shared" si="34"/>
        <v>0</v>
      </c>
      <c r="Y212" s="140">
        <f t="shared" si="35"/>
        <v>0</v>
      </c>
      <c r="Z212" s="519">
        <v>3058524.9</v>
      </c>
      <c r="AA212" s="111">
        <f t="shared" si="52"/>
        <v>4078033.1999999997</v>
      </c>
      <c r="AB212" s="522">
        <f t="shared" si="53"/>
        <v>-178033.19999999972</v>
      </c>
    </row>
    <row r="213" spans="1:28" ht="36" customHeight="1">
      <c r="A213" s="115" t="s">
        <v>4492</v>
      </c>
      <c r="B213" s="127" t="s">
        <v>3190</v>
      </c>
      <c r="C213" s="99" t="s">
        <v>1263</v>
      </c>
      <c r="D213" s="99" t="s">
        <v>3185</v>
      </c>
      <c r="E213" s="534" t="s">
        <v>4493</v>
      </c>
      <c r="F213" s="534" t="s">
        <v>4494</v>
      </c>
      <c r="G213" s="511"/>
      <c r="H213" s="511"/>
      <c r="I213" s="544"/>
      <c r="J213" s="542"/>
      <c r="K213" s="543"/>
      <c r="L213" s="95"/>
      <c r="M213" s="104"/>
      <c r="N213" s="137">
        <v>0</v>
      </c>
      <c r="O213" s="138">
        <v>0</v>
      </c>
      <c r="P213" s="138">
        <v>0</v>
      </c>
      <c r="Q213" s="138">
        <v>0</v>
      </c>
      <c r="R213" s="138">
        <v>0</v>
      </c>
      <c r="S213" s="139">
        <v>0</v>
      </c>
      <c r="T213" s="322">
        <f t="shared" si="31"/>
        <v>0</v>
      </c>
      <c r="U213" s="140" t="str">
        <f t="shared" si="32"/>
        <v/>
      </c>
      <c r="V213" s="322">
        <f t="shared" si="51"/>
        <v>0</v>
      </c>
      <c r="W213" s="140" t="str">
        <f t="shared" si="33"/>
        <v/>
      </c>
      <c r="X213" s="322">
        <f t="shared" si="34"/>
        <v>0</v>
      </c>
      <c r="Y213" s="140" t="str">
        <f t="shared" si="35"/>
        <v/>
      </c>
      <c r="Z213" s="519">
        <v>0</v>
      </c>
      <c r="AA213" s="111">
        <f t="shared" si="52"/>
        <v>0</v>
      </c>
      <c r="AB213" s="111">
        <f t="shared" si="53"/>
        <v>0</v>
      </c>
    </row>
    <row r="214" spans="1:28" ht="42">
      <c r="A214" s="114" t="s">
        <v>4495</v>
      </c>
      <c r="B214" s="126" t="s">
        <v>3190</v>
      </c>
      <c r="C214" s="98" t="s">
        <v>1263</v>
      </c>
      <c r="D214" s="98" t="s">
        <v>3183</v>
      </c>
      <c r="E214" s="540" t="s">
        <v>4496</v>
      </c>
      <c r="F214" s="540" t="s">
        <v>4497</v>
      </c>
      <c r="G214" s="511" t="s">
        <v>658</v>
      </c>
      <c r="H214" s="511" t="s">
        <v>2791</v>
      </c>
      <c r="I214" s="544" t="s">
        <v>2792</v>
      </c>
      <c r="J214" s="542" t="s">
        <v>3599</v>
      </c>
      <c r="K214" s="543" t="s">
        <v>3601</v>
      </c>
      <c r="L214" s="95"/>
      <c r="M214" s="104"/>
      <c r="N214" s="137">
        <v>0</v>
      </c>
      <c r="O214" s="138">
        <v>0</v>
      </c>
      <c r="P214" s="138">
        <v>0</v>
      </c>
      <c r="Q214" s="138">
        <v>0</v>
      </c>
      <c r="R214" s="138">
        <v>0</v>
      </c>
      <c r="S214" s="139">
        <v>0</v>
      </c>
      <c r="T214" s="322">
        <f t="shared" si="31"/>
        <v>0</v>
      </c>
      <c r="U214" s="140" t="str">
        <f t="shared" si="32"/>
        <v/>
      </c>
      <c r="V214" s="322">
        <f t="shared" si="51"/>
        <v>0</v>
      </c>
      <c r="W214" s="140" t="str">
        <f t="shared" si="33"/>
        <v/>
      </c>
      <c r="X214" s="322">
        <f t="shared" si="34"/>
        <v>0</v>
      </c>
      <c r="Y214" s="140" t="str">
        <f t="shared" si="35"/>
        <v/>
      </c>
      <c r="Z214" s="519">
        <v>0</v>
      </c>
      <c r="AA214" s="111">
        <f t="shared" si="52"/>
        <v>0</v>
      </c>
      <c r="AB214" s="111">
        <f t="shared" si="53"/>
        <v>0</v>
      </c>
    </row>
    <row r="215" spans="1:28" ht="42">
      <c r="A215" s="114" t="s">
        <v>4498</v>
      </c>
      <c r="B215" s="126" t="s">
        <v>3190</v>
      </c>
      <c r="C215" s="98" t="s">
        <v>1263</v>
      </c>
      <c r="D215" s="98" t="s">
        <v>3193</v>
      </c>
      <c r="E215" s="540" t="s">
        <v>4499</v>
      </c>
      <c r="F215" s="540" t="s">
        <v>4500</v>
      </c>
      <c r="G215" s="511" t="s">
        <v>660</v>
      </c>
      <c r="H215" s="512" t="s">
        <v>2779</v>
      </c>
      <c r="I215" s="544" t="s">
        <v>2267</v>
      </c>
      <c r="J215" s="542" t="s">
        <v>3599</v>
      </c>
      <c r="K215" s="543" t="s">
        <v>3601</v>
      </c>
      <c r="L215" s="95"/>
      <c r="M215" s="104"/>
      <c r="N215" s="137">
        <v>0</v>
      </c>
      <c r="O215" s="138">
        <v>0</v>
      </c>
      <c r="P215" s="138">
        <v>0</v>
      </c>
      <c r="Q215" s="138">
        <v>0</v>
      </c>
      <c r="R215" s="138">
        <v>0</v>
      </c>
      <c r="S215" s="139">
        <v>0</v>
      </c>
      <c r="T215" s="322">
        <f t="shared" si="31"/>
        <v>0</v>
      </c>
      <c r="U215" s="140" t="str">
        <f t="shared" si="32"/>
        <v/>
      </c>
      <c r="V215" s="322">
        <f t="shared" si="51"/>
        <v>0</v>
      </c>
      <c r="W215" s="140" t="str">
        <f t="shared" si="33"/>
        <v/>
      </c>
      <c r="X215" s="322">
        <f t="shared" si="34"/>
        <v>0</v>
      </c>
      <c r="Y215" s="140" t="str">
        <f t="shared" si="35"/>
        <v/>
      </c>
      <c r="Z215" s="519">
        <v>0</v>
      </c>
      <c r="AA215" s="111">
        <f t="shared" si="52"/>
        <v>0</v>
      </c>
      <c r="AB215" s="111">
        <f t="shared" si="53"/>
        <v>0</v>
      </c>
    </row>
    <row r="216" spans="1:28" ht="42">
      <c r="A216" s="114" t="s">
        <v>4501</v>
      </c>
      <c r="B216" s="126" t="s">
        <v>3190</v>
      </c>
      <c r="C216" s="98" t="s">
        <v>1263</v>
      </c>
      <c r="D216" s="98" t="s">
        <v>2631</v>
      </c>
      <c r="E216" s="540" t="s">
        <v>4502</v>
      </c>
      <c r="F216" s="540" t="s">
        <v>4503</v>
      </c>
      <c r="G216" s="511" t="s">
        <v>661</v>
      </c>
      <c r="H216" s="512" t="s">
        <v>2782</v>
      </c>
      <c r="I216" s="544" t="s">
        <v>3449</v>
      </c>
      <c r="J216" s="542" t="s">
        <v>3599</v>
      </c>
      <c r="K216" s="543" t="s">
        <v>3601</v>
      </c>
      <c r="L216" s="95"/>
      <c r="M216" s="104"/>
      <c r="N216" s="137">
        <v>0</v>
      </c>
      <c r="O216" s="138">
        <v>0</v>
      </c>
      <c r="P216" s="138">
        <v>0</v>
      </c>
      <c r="Q216" s="138">
        <v>0</v>
      </c>
      <c r="R216" s="138">
        <v>0</v>
      </c>
      <c r="S216" s="139">
        <v>0</v>
      </c>
      <c r="T216" s="322">
        <f t="shared" si="31"/>
        <v>0</v>
      </c>
      <c r="U216" s="140" t="str">
        <f t="shared" si="32"/>
        <v/>
      </c>
      <c r="V216" s="322">
        <f t="shared" si="51"/>
        <v>0</v>
      </c>
      <c r="W216" s="140" t="str">
        <f t="shared" si="33"/>
        <v/>
      </c>
      <c r="X216" s="322">
        <f t="shared" si="34"/>
        <v>0</v>
      </c>
      <c r="Y216" s="140" t="str">
        <f t="shared" si="35"/>
        <v/>
      </c>
      <c r="Z216" s="519">
        <v>0</v>
      </c>
      <c r="AA216" s="111">
        <f t="shared" si="52"/>
        <v>0</v>
      </c>
      <c r="AB216" s="111">
        <f t="shared" si="53"/>
        <v>0</v>
      </c>
    </row>
    <row r="217" spans="1:28" ht="42">
      <c r="A217" s="114" t="s">
        <v>4504</v>
      </c>
      <c r="B217" s="126" t="s">
        <v>3190</v>
      </c>
      <c r="C217" s="98" t="s">
        <v>1263</v>
      </c>
      <c r="D217" s="98" t="s">
        <v>1404</v>
      </c>
      <c r="E217" s="540" t="s">
        <v>4505</v>
      </c>
      <c r="F217" s="540" t="s">
        <v>4506</v>
      </c>
      <c r="G217" s="511" t="s">
        <v>662</v>
      </c>
      <c r="H217" s="512" t="s">
        <v>4982</v>
      </c>
      <c r="I217" s="544" t="s">
        <v>2783</v>
      </c>
      <c r="J217" s="542" t="s">
        <v>3599</v>
      </c>
      <c r="K217" s="543" t="s">
        <v>3601</v>
      </c>
      <c r="L217" s="95"/>
      <c r="M217" s="104"/>
      <c r="N217" s="137">
        <v>0</v>
      </c>
      <c r="O217" s="138">
        <v>0</v>
      </c>
      <c r="P217" s="138">
        <v>0</v>
      </c>
      <c r="Q217" s="138">
        <v>0</v>
      </c>
      <c r="R217" s="138">
        <v>0</v>
      </c>
      <c r="S217" s="139">
        <v>0</v>
      </c>
      <c r="T217" s="322">
        <f t="shared" ref="T217:T282" si="54">IF(N217="","",Q217-N217)</f>
        <v>0</v>
      </c>
      <c r="U217" s="140" t="str">
        <f t="shared" ref="U217:U282" si="55">IF(N217=0,"",T217/N217)</f>
        <v/>
      </c>
      <c r="V217" s="322">
        <f t="shared" si="51"/>
        <v>0</v>
      </c>
      <c r="W217" s="140" t="str">
        <f t="shared" ref="W217:W282" si="56">IF(O217=0,"",V217/O217)</f>
        <v/>
      </c>
      <c r="X217" s="322">
        <f t="shared" ref="X217:X282" si="57">IF(P217="","",Q217-P217)</f>
        <v>0</v>
      </c>
      <c r="Y217" s="140" t="str">
        <f t="shared" ref="Y217:Y282" si="58">IF(P217=0,"",X217/P217)</f>
        <v/>
      </c>
      <c r="Z217" s="519">
        <v>0</v>
      </c>
      <c r="AA217" s="111">
        <f t="shared" si="52"/>
        <v>0</v>
      </c>
      <c r="AB217" s="111">
        <f t="shared" si="53"/>
        <v>0</v>
      </c>
    </row>
    <row r="218" spans="1:28" ht="42">
      <c r="A218" s="115" t="s">
        <v>2625</v>
      </c>
      <c r="B218" s="124" t="s">
        <v>3190</v>
      </c>
      <c r="C218" s="101" t="s">
        <v>3191</v>
      </c>
      <c r="D218" s="101" t="s">
        <v>3185</v>
      </c>
      <c r="E218" s="554" t="s">
        <v>4589</v>
      </c>
      <c r="F218" s="534" t="s">
        <v>4590</v>
      </c>
      <c r="G218" s="555"/>
      <c r="H218" s="555"/>
      <c r="I218" s="556"/>
      <c r="J218" s="557"/>
      <c r="K218" s="558"/>
      <c r="L218" s="95"/>
      <c r="M218" s="104"/>
      <c r="N218" s="137">
        <v>0</v>
      </c>
      <c r="O218" s="138">
        <v>0</v>
      </c>
      <c r="P218" s="138">
        <v>0</v>
      </c>
      <c r="Q218" s="138">
        <v>0</v>
      </c>
      <c r="R218" s="138">
        <v>0</v>
      </c>
      <c r="S218" s="139">
        <v>0</v>
      </c>
      <c r="T218" s="322">
        <f t="shared" si="54"/>
        <v>0</v>
      </c>
      <c r="U218" s="140" t="str">
        <f t="shared" si="55"/>
        <v/>
      </c>
      <c r="V218" s="322">
        <f t="shared" si="51"/>
        <v>0</v>
      </c>
      <c r="W218" s="140" t="str">
        <f t="shared" si="56"/>
        <v/>
      </c>
      <c r="X218" s="322">
        <f t="shared" si="57"/>
        <v>0</v>
      </c>
      <c r="Y218" s="140" t="str">
        <f t="shared" si="58"/>
        <v/>
      </c>
      <c r="Z218" s="519">
        <v>0</v>
      </c>
      <c r="AA218" s="111">
        <f t="shared" si="52"/>
        <v>0</v>
      </c>
      <c r="AB218" s="111">
        <f t="shared" si="53"/>
        <v>0</v>
      </c>
    </row>
    <row r="219" spans="1:28" ht="51.75" customHeight="1">
      <c r="A219" s="114" t="s">
        <v>2626</v>
      </c>
      <c r="B219" s="125" t="s">
        <v>3190</v>
      </c>
      <c r="C219" s="97" t="s">
        <v>3191</v>
      </c>
      <c r="D219" s="97" t="s">
        <v>3183</v>
      </c>
      <c r="E219" s="559" t="s">
        <v>4507</v>
      </c>
      <c r="F219" s="540" t="s">
        <v>4512</v>
      </c>
      <c r="G219" s="555" t="s">
        <v>658</v>
      </c>
      <c r="H219" s="555" t="s">
        <v>2791</v>
      </c>
      <c r="I219" s="556" t="s">
        <v>2792</v>
      </c>
      <c r="J219" s="542" t="s">
        <v>3599</v>
      </c>
      <c r="K219" s="543" t="s">
        <v>3601</v>
      </c>
      <c r="L219" s="95"/>
      <c r="M219" s="104"/>
      <c r="N219" s="137">
        <v>62122.169999999991</v>
      </c>
      <c r="O219" s="138">
        <v>85000</v>
      </c>
      <c r="P219" s="138">
        <v>65000</v>
      </c>
      <c r="Q219" s="138">
        <v>65000</v>
      </c>
      <c r="R219" s="138">
        <v>65000</v>
      </c>
      <c r="S219" s="139">
        <v>65000</v>
      </c>
      <c r="T219" s="322">
        <f t="shared" si="54"/>
        <v>2877.830000000009</v>
      </c>
      <c r="U219" s="140">
        <f t="shared" si="55"/>
        <v>4.6325329588454645E-2</v>
      </c>
      <c r="V219" s="322">
        <f t="shared" si="51"/>
        <v>-20000</v>
      </c>
      <c r="W219" s="140">
        <f t="shared" si="56"/>
        <v>-0.23529411764705882</v>
      </c>
      <c r="X219" s="322">
        <f t="shared" si="57"/>
        <v>0</v>
      </c>
      <c r="Y219" s="140">
        <f t="shared" si="58"/>
        <v>0</v>
      </c>
      <c r="Z219" s="519">
        <v>40049.97</v>
      </c>
      <c r="AA219" s="111">
        <f t="shared" si="52"/>
        <v>53399.96</v>
      </c>
      <c r="AB219" s="111">
        <f t="shared" si="53"/>
        <v>11600.04</v>
      </c>
    </row>
    <row r="220" spans="1:28" ht="42">
      <c r="A220" s="114" t="s">
        <v>2793</v>
      </c>
      <c r="B220" s="125" t="s">
        <v>3190</v>
      </c>
      <c r="C220" s="97" t="s">
        <v>3191</v>
      </c>
      <c r="D220" s="97" t="s">
        <v>2138</v>
      </c>
      <c r="E220" s="559" t="s">
        <v>4508</v>
      </c>
      <c r="F220" s="540" t="s">
        <v>4591</v>
      </c>
      <c r="G220" s="555" t="s">
        <v>661</v>
      </c>
      <c r="H220" s="512" t="s">
        <v>2782</v>
      </c>
      <c r="I220" s="556" t="s">
        <v>3449</v>
      </c>
      <c r="J220" s="542" t="s">
        <v>3599</v>
      </c>
      <c r="K220" s="543" t="s">
        <v>3601</v>
      </c>
      <c r="L220" s="95"/>
      <c r="M220" s="104"/>
      <c r="N220" s="137">
        <v>42596.54</v>
      </c>
      <c r="O220" s="138">
        <v>45000</v>
      </c>
      <c r="P220" s="138">
        <v>30000</v>
      </c>
      <c r="Q220" s="138">
        <v>30000</v>
      </c>
      <c r="R220" s="138">
        <v>30000</v>
      </c>
      <c r="S220" s="139">
        <v>30000</v>
      </c>
      <c r="T220" s="322">
        <f t="shared" si="54"/>
        <v>-12596.54</v>
      </c>
      <c r="U220" s="140">
        <f t="shared" si="55"/>
        <v>-0.29571744559534652</v>
      </c>
      <c r="V220" s="322">
        <f t="shared" si="51"/>
        <v>-15000</v>
      </c>
      <c r="W220" s="140">
        <f t="shared" si="56"/>
        <v>-0.33333333333333331</v>
      </c>
      <c r="X220" s="322">
        <f t="shared" si="57"/>
        <v>0</v>
      </c>
      <c r="Y220" s="140">
        <f t="shared" si="58"/>
        <v>0</v>
      </c>
      <c r="Z220" s="519">
        <v>16623.140000000003</v>
      </c>
      <c r="AA220" s="111">
        <f t="shared" si="52"/>
        <v>22164.186666666672</v>
      </c>
      <c r="AB220" s="111">
        <f t="shared" si="53"/>
        <v>7835.813333333328</v>
      </c>
    </row>
    <row r="221" spans="1:28" ht="47.25" customHeight="1">
      <c r="A221" s="114" t="s">
        <v>2628</v>
      </c>
      <c r="B221" s="125" t="s">
        <v>3190</v>
      </c>
      <c r="C221" s="97" t="s">
        <v>3191</v>
      </c>
      <c r="D221" s="97" t="s">
        <v>3193</v>
      </c>
      <c r="E221" s="559" t="s">
        <v>5426</v>
      </c>
      <c r="F221" s="540" t="s">
        <v>4513</v>
      </c>
      <c r="G221" s="555" t="s">
        <v>658</v>
      </c>
      <c r="H221" s="555" t="s">
        <v>2791</v>
      </c>
      <c r="I221" s="556" t="s">
        <v>2792</v>
      </c>
      <c r="J221" s="542" t="s">
        <v>3599</v>
      </c>
      <c r="K221" s="543" t="s">
        <v>3601</v>
      </c>
      <c r="L221" s="95"/>
      <c r="M221" s="104"/>
      <c r="N221" s="137">
        <v>24715872.380000003</v>
      </c>
      <c r="O221" s="138">
        <v>26000000</v>
      </c>
      <c r="P221" s="138">
        <v>25500000</v>
      </c>
      <c r="Q221" s="138">
        <v>26000000</v>
      </c>
      <c r="R221" s="138">
        <v>26500000</v>
      </c>
      <c r="S221" s="139">
        <v>27000000</v>
      </c>
      <c r="T221" s="322">
        <f t="shared" si="54"/>
        <v>1284127.6199999973</v>
      </c>
      <c r="U221" s="140">
        <f t="shared" si="55"/>
        <v>5.1955585473855613E-2</v>
      </c>
      <c r="V221" s="322">
        <f t="shared" si="51"/>
        <v>0</v>
      </c>
      <c r="W221" s="140">
        <f t="shared" si="56"/>
        <v>0</v>
      </c>
      <c r="X221" s="322">
        <f t="shared" si="57"/>
        <v>500000</v>
      </c>
      <c r="Y221" s="140">
        <f t="shared" si="58"/>
        <v>1.9607843137254902E-2</v>
      </c>
      <c r="Z221" s="519">
        <v>19124964.300000001</v>
      </c>
      <c r="AA221" s="111">
        <f t="shared" si="52"/>
        <v>25499952.400000002</v>
      </c>
      <c r="AB221" s="111">
        <f t="shared" si="53"/>
        <v>47.599999997764826</v>
      </c>
    </row>
    <row r="222" spans="1:28" ht="47.25" customHeight="1">
      <c r="A222" s="114" t="s">
        <v>2264</v>
      </c>
      <c r="B222" s="125" t="s">
        <v>3190</v>
      </c>
      <c r="C222" s="97" t="s">
        <v>3191</v>
      </c>
      <c r="D222" s="97" t="s">
        <v>1401</v>
      </c>
      <c r="E222" s="559" t="s">
        <v>4509</v>
      </c>
      <c r="F222" s="540" t="s">
        <v>4592</v>
      </c>
      <c r="G222" s="555" t="s">
        <v>661</v>
      </c>
      <c r="H222" s="512" t="s">
        <v>2782</v>
      </c>
      <c r="I222" s="556" t="s">
        <v>3449</v>
      </c>
      <c r="J222" s="542" t="s">
        <v>3599</v>
      </c>
      <c r="K222" s="543" t="s">
        <v>3601</v>
      </c>
      <c r="L222" s="95"/>
      <c r="M222" s="104"/>
      <c r="N222" s="137">
        <v>7091771.5899999999</v>
      </c>
      <c r="O222" s="138">
        <v>7800000</v>
      </c>
      <c r="P222" s="138">
        <v>7600000</v>
      </c>
      <c r="Q222" s="138">
        <v>7760000</v>
      </c>
      <c r="R222" s="138">
        <v>7920000</v>
      </c>
      <c r="S222" s="139">
        <v>8100000</v>
      </c>
      <c r="T222" s="322">
        <f t="shared" si="54"/>
        <v>668228.41000000015</v>
      </c>
      <c r="U222" s="140">
        <f t="shared" si="55"/>
        <v>9.4225878755353445E-2</v>
      </c>
      <c r="V222" s="322">
        <f t="shared" si="51"/>
        <v>-40000</v>
      </c>
      <c r="W222" s="140">
        <f t="shared" si="56"/>
        <v>-5.1282051282051282E-3</v>
      </c>
      <c r="X222" s="322">
        <f t="shared" si="57"/>
        <v>160000</v>
      </c>
      <c r="Y222" s="140">
        <f t="shared" si="58"/>
        <v>2.1052631578947368E-2</v>
      </c>
      <c r="Z222" s="519">
        <v>5699721.6799999997</v>
      </c>
      <c r="AA222" s="111">
        <f t="shared" si="52"/>
        <v>7599628.9066666663</v>
      </c>
      <c r="AB222" s="111">
        <f t="shared" si="53"/>
        <v>371.0933333337307</v>
      </c>
    </row>
    <row r="223" spans="1:28" ht="47.25" customHeight="1">
      <c r="A223" s="114" t="s">
        <v>2265</v>
      </c>
      <c r="B223" s="125" t="s">
        <v>3190</v>
      </c>
      <c r="C223" s="97" t="s">
        <v>3191</v>
      </c>
      <c r="D223" s="97" t="s">
        <v>2631</v>
      </c>
      <c r="E223" s="559" t="s">
        <v>4510</v>
      </c>
      <c r="F223" s="540" t="s">
        <v>4514</v>
      </c>
      <c r="G223" s="511" t="s">
        <v>660</v>
      </c>
      <c r="H223" s="512" t="s">
        <v>2779</v>
      </c>
      <c r="I223" s="544" t="s">
        <v>2267</v>
      </c>
      <c r="J223" s="542" t="s">
        <v>3599</v>
      </c>
      <c r="K223" s="543" t="s">
        <v>3601</v>
      </c>
      <c r="L223" s="95"/>
      <c r="M223" s="104"/>
      <c r="N223" s="137">
        <v>658230.21</v>
      </c>
      <c r="O223" s="138">
        <v>700000</v>
      </c>
      <c r="P223" s="138">
        <v>520000</v>
      </c>
      <c r="Q223" s="138">
        <v>520000</v>
      </c>
      <c r="R223" s="138">
        <v>520000</v>
      </c>
      <c r="S223" s="139">
        <v>520000</v>
      </c>
      <c r="T223" s="322">
        <f t="shared" si="54"/>
        <v>-138230.20999999996</v>
      </c>
      <c r="U223" s="140">
        <f t="shared" si="55"/>
        <v>-0.21000283472252051</v>
      </c>
      <c r="V223" s="322">
        <f t="shared" si="51"/>
        <v>-180000</v>
      </c>
      <c r="W223" s="140">
        <f t="shared" si="56"/>
        <v>-0.25714285714285712</v>
      </c>
      <c r="X223" s="322">
        <f t="shared" si="57"/>
        <v>0</v>
      </c>
      <c r="Y223" s="140">
        <f t="shared" si="58"/>
        <v>0</v>
      </c>
      <c r="Z223" s="519">
        <v>385215.82</v>
      </c>
      <c r="AA223" s="111">
        <f t="shared" si="52"/>
        <v>513621.09333333332</v>
      </c>
      <c r="AB223" s="111">
        <f t="shared" si="53"/>
        <v>6378.9066666666768</v>
      </c>
    </row>
    <row r="224" spans="1:28" ht="42">
      <c r="A224" s="114" t="s">
        <v>2268</v>
      </c>
      <c r="B224" s="125" t="s">
        <v>3190</v>
      </c>
      <c r="C224" s="97" t="s">
        <v>3191</v>
      </c>
      <c r="D224" s="97" t="s">
        <v>1552</v>
      </c>
      <c r="E224" s="559" t="s">
        <v>4511</v>
      </c>
      <c r="F224" s="540" t="s">
        <v>4515</v>
      </c>
      <c r="G224" s="555" t="s">
        <v>662</v>
      </c>
      <c r="H224" s="512" t="s">
        <v>4982</v>
      </c>
      <c r="I224" s="556" t="s">
        <v>2783</v>
      </c>
      <c r="J224" s="542" t="s">
        <v>3599</v>
      </c>
      <c r="K224" s="543" t="s">
        <v>3601</v>
      </c>
      <c r="L224" s="95"/>
      <c r="M224" s="104"/>
      <c r="N224" s="137">
        <v>521080.42</v>
      </c>
      <c r="O224" s="138">
        <v>520000</v>
      </c>
      <c r="P224" s="138">
        <v>532000</v>
      </c>
      <c r="Q224" s="138">
        <v>532000</v>
      </c>
      <c r="R224" s="138">
        <v>532000</v>
      </c>
      <c r="S224" s="139">
        <v>532000</v>
      </c>
      <c r="T224" s="322">
        <f t="shared" si="54"/>
        <v>10919.580000000016</v>
      </c>
      <c r="U224" s="140">
        <f t="shared" si="55"/>
        <v>2.0955652104525473E-2</v>
      </c>
      <c r="V224" s="322">
        <f t="shared" si="51"/>
        <v>12000</v>
      </c>
      <c r="W224" s="140">
        <f t="shared" si="56"/>
        <v>2.3076923076923078E-2</v>
      </c>
      <c r="X224" s="322">
        <f t="shared" si="57"/>
        <v>0</v>
      </c>
      <c r="Y224" s="140">
        <f t="shared" si="58"/>
        <v>0</v>
      </c>
      <c r="Z224" s="519">
        <v>458929.07</v>
      </c>
      <c r="AA224" s="111">
        <f t="shared" si="52"/>
        <v>611905.42666666664</v>
      </c>
      <c r="AB224" s="522">
        <f t="shared" si="53"/>
        <v>-79905.426666666637</v>
      </c>
    </row>
    <row r="225" spans="1:28" ht="37.5" customHeight="1">
      <c r="A225" s="114" t="s">
        <v>4372</v>
      </c>
      <c r="B225" s="125" t="s">
        <v>3190</v>
      </c>
      <c r="C225" s="97" t="s">
        <v>3191</v>
      </c>
      <c r="D225" s="97" t="s">
        <v>1404</v>
      </c>
      <c r="E225" s="559" t="s">
        <v>4373</v>
      </c>
      <c r="F225" s="540" t="s">
        <v>4374</v>
      </c>
      <c r="G225" s="555" t="s">
        <v>658</v>
      </c>
      <c r="H225" s="555" t="s">
        <v>2791</v>
      </c>
      <c r="I225" s="556" t="s">
        <v>2792</v>
      </c>
      <c r="J225" s="542" t="s">
        <v>3599</v>
      </c>
      <c r="K225" s="543" t="s">
        <v>3601</v>
      </c>
      <c r="L225" s="95"/>
      <c r="M225" s="104"/>
      <c r="N225" s="137">
        <v>1702672.86</v>
      </c>
      <c r="O225" s="138">
        <v>1325000</v>
      </c>
      <c r="P225" s="138">
        <v>2000000</v>
      </c>
      <c r="Q225" s="138">
        <v>2130000</v>
      </c>
      <c r="R225" s="138">
        <v>2230000</v>
      </c>
      <c r="S225" s="139">
        <v>2230000</v>
      </c>
      <c r="T225" s="322">
        <f t="shared" si="54"/>
        <v>427327.1399999999</v>
      </c>
      <c r="U225" s="140">
        <f t="shared" si="55"/>
        <v>0.25097430636205703</v>
      </c>
      <c r="V225" s="322">
        <f t="shared" si="51"/>
        <v>805000</v>
      </c>
      <c r="W225" s="140">
        <f t="shared" si="56"/>
        <v>0.60754716981132073</v>
      </c>
      <c r="X225" s="322">
        <f t="shared" si="57"/>
        <v>130000</v>
      </c>
      <c r="Y225" s="140">
        <f t="shared" si="58"/>
        <v>6.5000000000000002E-2</v>
      </c>
      <c r="Z225" s="519">
        <v>1500079.09</v>
      </c>
      <c r="AA225" s="111">
        <f t="shared" si="52"/>
        <v>2000105.4533333334</v>
      </c>
      <c r="AB225" s="111">
        <f t="shared" si="53"/>
        <v>-105.45333333336748</v>
      </c>
    </row>
    <row r="226" spans="1:28" ht="28.5" customHeight="1">
      <c r="A226" s="114" t="s">
        <v>4375</v>
      </c>
      <c r="B226" s="125" t="s">
        <v>3190</v>
      </c>
      <c r="C226" s="97" t="s">
        <v>3191</v>
      </c>
      <c r="D226" s="97" t="s">
        <v>1555</v>
      </c>
      <c r="E226" s="559" t="s">
        <v>4614</v>
      </c>
      <c r="F226" s="540" t="s">
        <v>4376</v>
      </c>
      <c r="G226" s="555" t="s">
        <v>661</v>
      </c>
      <c r="H226" s="512" t="s">
        <v>2782</v>
      </c>
      <c r="I226" s="556" t="s">
        <v>3449</v>
      </c>
      <c r="J226" s="542" t="s">
        <v>3599</v>
      </c>
      <c r="K226" s="543" t="s">
        <v>3601</v>
      </c>
      <c r="L226" s="95"/>
      <c r="M226" s="104"/>
      <c r="N226" s="137">
        <v>624077.56000000006</v>
      </c>
      <c r="O226" s="138">
        <v>535000</v>
      </c>
      <c r="P226" s="138">
        <v>720000</v>
      </c>
      <c r="Q226" s="138">
        <v>750000</v>
      </c>
      <c r="R226" s="138">
        <v>780000</v>
      </c>
      <c r="S226" s="139">
        <v>780000</v>
      </c>
      <c r="T226" s="322">
        <f t="shared" si="54"/>
        <v>125922.43999999994</v>
      </c>
      <c r="U226" s="140">
        <f t="shared" si="55"/>
        <v>0.20177370261478386</v>
      </c>
      <c r="V226" s="322">
        <f t="shared" si="51"/>
        <v>215000</v>
      </c>
      <c r="W226" s="140">
        <f t="shared" si="56"/>
        <v>0.40186915887850466</v>
      </c>
      <c r="X226" s="322">
        <f t="shared" si="57"/>
        <v>30000</v>
      </c>
      <c r="Y226" s="140">
        <f t="shared" si="58"/>
        <v>4.1666666666666664E-2</v>
      </c>
      <c r="Z226" s="519">
        <v>539689.16</v>
      </c>
      <c r="AA226" s="111">
        <f t="shared" si="52"/>
        <v>719585.54666666675</v>
      </c>
      <c r="AB226" s="111">
        <f t="shared" si="53"/>
        <v>414.45333333325107</v>
      </c>
    </row>
    <row r="227" spans="1:28" ht="52.5">
      <c r="A227" s="114" t="s">
        <v>4593</v>
      </c>
      <c r="B227" s="126" t="s">
        <v>3190</v>
      </c>
      <c r="C227" s="98" t="s">
        <v>3191</v>
      </c>
      <c r="D227" s="98" t="s">
        <v>1405</v>
      </c>
      <c r="E227" s="540" t="s">
        <v>4615</v>
      </c>
      <c r="F227" s="540" t="s">
        <v>4594</v>
      </c>
      <c r="G227" s="511" t="s">
        <v>661</v>
      </c>
      <c r="H227" s="512" t="s">
        <v>2782</v>
      </c>
      <c r="I227" s="544" t="s">
        <v>3449</v>
      </c>
      <c r="J227" s="542" t="s">
        <v>3599</v>
      </c>
      <c r="K227" s="543" t="s">
        <v>3601</v>
      </c>
      <c r="L227" s="95"/>
      <c r="M227" s="104"/>
      <c r="N227" s="137">
        <v>6320835.4900000002</v>
      </c>
      <c r="O227" s="138">
        <v>6340000</v>
      </c>
      <c r="P227" s="138">
        <v>6340000</v>
      </c>
      <c r="Q227" s="138">
        <v>6500000</v>
      </c>
      <c r="R227" s="138">
        <v>6500000</v>
      </c>
      <c r="S227" s="139">
        <v>6500000</v>
      </c>
      <c r="T227" s="322">
        <f t="shared" si="54"/>
        <v>179164.50999999978</v>
      </c>
      <c r="U227" s="140">
        <f t="shared" si="55"/>
        <v>2.834506771825504E-2</v>
      </c>
      <c r="V227" s="322">
        <f t="shared" si="51"/>
        <v>160000</v>
      </c>
      <c r="W227" s="140">
        <f t="shared" si="56"/>
        <v>2.5236593059936908E-2</v>
      </c>
      <c r="X227" s="322">
        <f t="shared" si="57"/>
        <v>160000</v>
      </c>
      <c r="Y227" s="140">
        <f t="shared" si="58"/>
        <v>2.5236593059936908E-2</v>
      </c>
      <c r="Z227" s="519">
        <v>4772335.3900000006</v>
      </c>
      <c r="AA227" s="111">
        <f t="shared" si="52"/>
        <v>6363113.8533333344</v>
      </c>
      <c r="AB227" s="111">
        <f t="shared" si="53"/>
        <v>-23113.853333334439</v>
      </c>
    </row>
    <row r="228" spans="1:28" ht="36" customHeight="1">
      <c r="A228" s="115" t="s">
        <v>4516</v>
      </c>
      <c r="B228" s="127" t="s">
        <v>3190</v>
      </c>
      <c r="C228" s="99" t="s">
        <v>3281</v>
      </c>
      <c r="D228" s="99" t="s">
        <v>3185</v>
      </c>
      <c r="E228" s="534" t="s">
        <v>4517</v>
      </c>
      <c r="F228" s="534" t="s">
        <v>4518</v>
      </c>
      <c r="G228" s="511"/>
      <c r="H228" s="511"/>
      <c r="I228" s="544"/>
      <c r="J228" s="542"/>
      <c r="K228" s="543"/>
      <c r="L228" s="95"/>
      <c r="M228" s="104"/>
      <c r="N228" s="137">
        <v>0</v>
      </c>
      <c r="O228" s="138">
        <v>0</v>
      </c>
      <c r="P228" s="138">
        <v>0</v>
      </c>
      <c r="Q228" s="138">
        <v>0</v>
      </c>
      <c r="R228" s="138">
        <v>0</v>
      </c>
      <c r="S228" s="139">
        <v>0</v>
      </c>
      <c r="T228" s="322">
        <f t="shared" si="54"/>
        <v>0</v>
      </c>
      <c r="U228" s="140" t="str">
        <f t="shared" si="55"/>
        <v/>
      </c>
      <c r="V228" s="322">
        <f t="shared" si="51"/>
        <v>0</v>
      </c>
      <c r="W228" s="140" t="str">
        <f t="shared" si="56"/>
        <v/>
      </c>
      <c r="X228" s="322">
        <f t="shared" si="57"/>
        <v>0</v>
      </c>
      <c r="Y228" s="140" t="str">
        <f t="shared" si="58"/>
        <v/>
      </c>
      <c r="Z228" s="519">
        <v>0</v>
      </c>
      <c r="AA228" s="111">
        <f t="shared" si="52"/>
        <v>0</v>
      </c>
      <c r="AB228" s="111">
        <f t="shared" si="53"/>
        <v>0</v>
      </c>
    </row>
    <row r="229" spans="1:28" ht="36.75" customHeight="1">
      <c r="A229" s="114" t="s">
        <v>4519</v>
      </c>
      <c r="B229" s="126" t="s">
        <v>3190</v>
      </c>
      <c r="C229" s="98" t="s">
        <v>3281</v>
      </c>
      <c r="D229" s="98" t="s">
        <v>3183</v>
      </c>
      <c r="E229" s="540" t="s">
        <v>5427</v>
      </c>
      <c r="F229" s="540" t="s">
        <v>4520</v>
      </c>
      <c r="G229" s="511" t="s">
        <v>658</v>
      </c>
      <c r="H229" s="511" t="s">
        <v>2791</v>
      </c>
      <c r="I229" s="544" t="s">
        <v>2792</v>
      </c>
      <c r="J229" s="542" t="s">
        <v>3599</v>
      </c>
      <c r="K229" s="543" t="s">
        <v>3601</v>
      </c>
      <c r="L229" s="95"/>
      <c r="M229" s="104"/>
      <c r="N229" s="137">
        <v>0</v>
      </c>
      <c r="O229" s="138">
        <v>0</v>
      </c>
      <c r="P229" s="138">
        <v>0</v>
      </c>
      <c r="Q229" s="138">
        <v>0</v>
      </c>
      <c r="R229" s="138">
        <v>0</v>
      </c>
      <c r="S229" s="139">
        <v>0</v>
      </c>
      <c r="T229" s="322">
        <f t="shared" si="54"/>
        <v>0</v>
      </c>
      <c r="U229" s="140" t="str">
        <f t="shared" si="55"/>
        <v/>
      </c>
      <c r="V229" s="322">
        <f t="shared" si="51"/>
        <v>0</v>
      </c>
      <c r="W229" s="140" t="str">
        <f t="shared" si="56"/>
        <v/>
      </c>
      <c r="X229" s="322">
        <f t="shared" si="57"/>
        <v>0</v>
      </c>
      <c r="Y229" s="140" t="str">
        <f t="shared" si="58"/>
        <v/>
      </c>
      <c r="Z229" s="519">
        <v>0</v>
      </c>
      <c r="AA229" s="111">
        <f t="shared" si="52"/>
        <v>0</v>
      </c>
      <c r="AB229" s="111">
        <f t="shared" si="53"/>
        <v>0</v>
      </c>
    </row>
    <row r="230" spans="1:28" ht="36.75" customHeight="1">
      <c r="A230" s="114" t="s">
        <v>4521</v>
      </c>
      <c r="B230" s="126" t="s">
        <v>3190</v>
      </c>
      <c r="C230" s="98" t="s">
        <v>3281</v>
      </c>
      <c r="D230" s="98" t="s">
        <v>3193</v>
      </c>
      <c r="E230" s="540" t="s">
        <v>4522</v>
      </c>
      <c r="F230" s="540" t="s">
        <v>4523</v>
      </c>
      <c r="G230" s="511" t="s">
        <v>660</v>
      </c>
      <c r="H230" s="512" t="s">
        <v>2779</v>
      </c>
      <c r="I230" s="544" t="s">
        <v>2267</v>
      </c>
      <c r="J230" s="542" t="s">
        <v>3599</v>
      </c>
      <c r="K230" s="543" t="s">
        <v>3601</v>
      </c>
      <c r="L230" s="95"/>
      <c r="M230" s="104"/>
      <c r="N230" s="137">
        <v>0</v>
      </c>
      <c r="O230" s="138">
        <v>0</v>
      </c>
      <c r="P230" s="138">
        <v>0</v>
      </c>
      <c r="Q230" s="138">
        <v>0</v>
      </c>
      <c r="R230" s="138">
        <v>0</v>
      </c>
      <c r="S230" s="139">
        <v>0</v>
      </c>
      <c r="T230" s="322">
        <f t="shared" si="54"/>
        <v>0</v>
      </c>
      <c r="U230" s="140" t="str">
        <f t="shared" si="55"/>
        <v/>
      </c>
      <c r="V230" s="322">
        <f t="shared" si="51"/>
        <v>0</v>
      </c>
      <c r="W230" s="140" t="str">
        <f t="shared" si="56"/>
        <v/>
      </c>
      <c r="X230" s="322">
        <f t="shared" si="57"/>
        <v>0</v>
      </c>
      <c r="Y230" s="140" t="str">
        <f t="shared" si="58"/>
        <v/>
      </c>
      <c r="Z230" s="519">
        <v>0</v>
      </c>
      <c r="AA230" s="111">
        <f t="shared" si="52"/>
        <v>0</v>
      </c>
      <c r="AB230" s="111">
        <f t="shared" si="53"/>
        <v>0</v>
      </c>
    </row>
    <row r="231" spans="1:28" ht="36.75" customHeight="1">
      <c r="A231" s="114" t="s">
        <v>4524</v>
      </c>
      <c r="B231" s="126" t="s">
        <v>3190</v>
      </c>
      <c r="C231" s="98" t="s">
        <v>3281</v>
      </c>
      <c r="D231" s="98" t="s">
        <v>2631</v>
      </c>
      <c r="E231" s="540" t="s">
        <v>4525</v>
      </c>
      <c r="F231" s="540" t="s">
        <v>4526</v>
      </c>
      <c r="G231" s="511" t="s">
        <v>661</v>
      </c>
      <c r="H231" s="512" t="s">
        <v>2782</v>
      </c>
      <c r="I231" s="544" t="s">
        <v>3449</v>
      </c>
      <c r="J231" s="542" t="s">
        <v>3599</v>
      </c>
      <c r="K231" s="543" t="s">
        <v>3601</v>
      </c>
      <c r="L231" s="95"/>
      <c r="M231" s="104"/>
      <c r="N231" s="137">
        <v>0</v>
      </c>
      <c r="O231" s="138">
        <v>0</v>
      </c>
      <c r="P231" s="138">
        <v>0</v>
      </c>
      <c r="Q231" s="138">
        <v>0</v>
      </c>
      <c r="R231" s="138">
        <v>0</v>
      </c>
      <c r="S231" s="139">
        <v>0</v>
      </c>
      <c r="T231" s="322">
        <f t="shared" si="54"/>
        <v>0</v>
      </c>
      <c r="U231" s="140" t="str">
        <f t="shared" si="55"/>
        <v/>
      </c>
      <c r="V231" s="322">
        <f t="shared" si="51"/>
        <v>0</v>
      </c>
      <c r="W231" s="140" t="str">
        <f t="shared" si="56"/>
        <v/>
      </c>
      <c r="X231" s="322">
        <f t="shared" si="57"/>
        <v>0</v>
      </c>
      <c r="Y231" s="140" t="str">
        <f t="shared" si="58"/>
        <v/>
      </c>
      <c r="Z231" s="519">
        <v>0</v>
      </c>
      <c r="AA231" s="111">
        <f t="shared" si="52"/>
        <v>0</v>
      </c>
      <c r="AB231" s="111">
        <f t="shared" si="53"/>
        <v>0</v>
      </c>
    </row>
    <row r="232" spans="1:28" ht="36.75" customHeight="1">
      <c r="A232" s="114" t="s">
        <v>4527</v>
      </c>
      <c r="B232" s="126" t="s">
        <v>3190</v>
      </c>
      <c r="C232" s="98" t="s">
        <v>3281</v>
      </c>
      <c r="D232" s="98" t="s">
        <v>1404</v>
      </c>
      <c r="E232" s="540" t="s">
        <v>4528</v>
      </c>
      <c r="F232" s="540" t="s">
        <v>4529</v>
      </c>
      <c r="G232" s="511" t="s">
        <v>662</v>
      </c>
      <c r="H232" s="512" t="s">
        <v>4982</v>
      </c>
      <c r="I232" s="544" t="s">
        <v>2783</v>
      </c>
      <c r="J232" s="542" t="s">
        <v>3599</v>
      </c>
      <c r="K232" s="543" t="s">
        <v>3601</v>
      </c>
      <c r="L232" s="95"/>
      <c r="M232" s="104"/>
      <c r="N232" s="137">
        <v>0</v>
      </c>
      <c r="O232" s="138">
        <v>0</v>
      </c>
      <c r="P232" s="138">
        <v>0</v>
      </c>
      <c r="Q232" s="138">
        <v>0</v>
      </c>
      <c r="R232" s="138">
        <v>0</v>
      </c>
      <c r="S232" s="139">
        <v>0</v>
      </c>
      <c r="T232" s="322">
        <f t="shared" si="54"/>
        <v>0</v>
      </c>
      <c r="U232" s="140" t="str">
        <f t="shared" si="55"/>
        <v/>
      </c>
      <c r="V232" s="322">
        <f t="shared" si="51"/>
        <v>0</v>
      </c>
      <c r="W232" s="140" t="str">
        <f t="shared" si="56"/>
        <v/>
      </c>
      <c r="X232" s="322">
        <f t="shared" si="57"/>
        <v>0</v>
      </c>
      <c r="Y232" s="140" t="str">
        <f t="shared" si="58"/>
        <v/>
      </c>
      <c r="Z232" s="519">
        <v>0</v>
      </c>
      <c r="AA232" s="111">
        <f t="shared" si="52"/>
        <v>0</v>
      </c>
      <c r="AB232" s="111">
        <f t="shared" si="53"/>
        <v>0</v>
      </c>
    </row>
    <row r="233" spans="1:28" ht="36.75" customHeight="1">
      <c r="A233" s="114" t="s">
        <v>4530</v>
      </c>
      <c r="B233" s="126" t="s">
        <v>3190</v>
      </c>
      <c r="C233" s="98" t="s">
        <v>3281</v>
      </c>
      <c r="D233" s="98" t="s">
        <v>1405</v>
      </c>
      <c r="E233" s="540" t="s">
        <v>4531</v>
      </c>
      <c r="F233" s="540" t="s">
        <v>4532</v>
      </c>
      <c r="G233" s="511" t="s">
        <v>658</v>
      </c>
      <c r="H233" s="511" t="s">
        <v>2791</v>
      </c>
      <c r="I233" s="544" t="s">
        <v>2792</v>
      </c>
      <c r="J233" s="542" t="s">
        <v>3599</v>
      </c>
      <c r="K233" s="543" t="s">
        <v>3601</v>
      </c>
      <c r="L233" s="95"/>
      <c r="M233" s="104"/>
      <c r="N233" s="137">
        <v>0</v>
      </c>
      <c r="O233" s="138">
        <v>0</v>
      </c>
      <c r="P233" s="138">
        <v>0</v>
      </c>
      <c r="Q233" s="138">
        <v>0</v>
      </c>
      <c r="R233" s="138">
        <v>0</v>
      </c>
      <c r="S233" s="139">
        <v>0</v>
      </c>
      <c r="T233" s="322">
        <f t="shared" si="54"/>
        <v>0</v>
      </c>
      <c r="U233" s="140" t="str">
        <f t="shared" si="55"/>
        <v/>
      </c>
      <c r="V233" s="322">
        <f t="shared" si="51"/>
        <v>0</v>
      </c>
      <c r="W233" s="140" t="str">
        <f t="shared" si="56"/>
        <v/>
      </c>
      <c r="X233" s="322">
        <f t="shared" si="57"/>
        <v>0</v>
      </c>
      <c r="Y233" s="140" t="str">
        <f t="shared" si="58"/>
        <v/>
      </c>
      <c r="Z233" s="519">
        <v>0</v>
      </c>
      <c r="AA233" s="111">
        <f t="shared" si="52"/>
        <v>0</v>
      </c>
      <c r="AB233" s="111">
        <f t="shared" si="53"/>
        <v>0</v>
      </c>
    </row>
    <row r="234" spans="1:28" ht="51.75" customHeight="1">
      <c r="A234" s="114" t="s">
        <v>4533</v>
      </c>
      <c r="B234" s="126" t="s">
        <v>3190</v>
      </c>
      <c r="C234" s="98" t="s">
        <v>3281</v>
      </c>
      <c r="D234" s="98" t="s">
        <v>2291</v>
      </c>
      <c r="E234" s="540" t="s">
        <v>4534</v>
      </c>
      <c r="F234" s="540" t="s">
        <v>4535</v>
      </c>
      <c r="G234" s="511" t="s">
        <v>660</v>
      </c>
      <c r="H234" s="512" t="s">
        <v>2779</v>
      </c>
      <c r="I234" s="544" t="s">
        <v>2267</v>
      </c>
      <c r="J234" s="542" t="s">
        <v>3599</v>
      </c>
      <c r="K234" s="543" t="s">
        <v>3601</v>
      </c>
      <c r="L234" s="95"/>
      <c r="M234" s="104"/>
      <c r="N234" s="137">
        <v>0</v>
      </c>
      <c r="O234" s="138">
        <v>0</v>
      </c>
      <c r="P234" s="138">
        <v>0</v>
      </c>
      <c r="Q234" s="138">
        <v>0</v>
      </c>
      <c r="R234" s="138">
        <v>0</v>
      </c>
      <c r="S234" s="139">
        <v>0</v>
      </c>
      <c r="T234" s="322">
        <f t="shared" si="54"/>
        <v>0</v>
      </c>
      <c r="U234" s="140" t="str">
        <f t="shared" si="55"/>
        <v/>
      </c>
      <c r="V234" s="322">
        <f t="shared" si="51"/>
        <v>0</v>
      </c>
      <c r="W234" s="140" t="str">
        <f t="shared" si="56"/>
        <v/>
      </c>
      <c r="X234" s="322">
        <f t="shared" si="57"/>
        <v>0</v>
      </c>
      <c r="Y234" s="140" t="str">
        <f t="shared" si="58"/>
        <v/>
      </c>
      <c r="Z234" s="519">
        <v>0</v>
      </c>
      <c r="AA234" s="111">
        <f t="shared" si="52"/>
        <v>0</v>
      </c>
      <c r="AB234" s="111">
        <f t="shared" si="53"/>
        <v>0</v>
      </c>
    </row>
    <row r="235" spans="1:28" ht="36.75" customHeight="1">
      <c r="A235" s="114" t="s">
        <v>4536</v>
      </c>
      <c r="B235" s="126" t="s">
        <v>3190</v>
      </c>
      <c r="C235" s="98" t="s">
        <v>3281</v>
      </c>
      <c r="D235" s="98" t="s">
        <v>1693</v>
      </c>
      <c r="E235" s="540" t="s">
        <v>4537</v>
      </c>
      <c r="F235" s="540" t="s">
        <v>5428</v>
      </c>
      <c r="G235" s="511" t="s">
        <v>661</v>
      </c>
      <c r="H235" s="512" t="s">
        <v>2782</v>
      </c>
      <c r="I235" s="544" t="s">
        <v>3449</v>
      </c>
      <c r="J235" s="542" t="s">
        <v>3599</v>
      </c>
      <c r="K235" s="543" t="s">
        <v>3601</v>
      </c>
      <c r="L235" s="95"/>
      <c r="M235" s="104"/>
      <c r="N235" s="137">
        <v>0</v>
      </c>
      <c r="O235" s="138">
        <v>0</v>
      </c>
      <c r="P235" s="138">
        <v>0</v>
      </c>
      <c r="Q235" s="138">
        <v>0</v>
      </c>
      <c r="R235" s="138">
        <v>0</v>
      </c>
      <c r="S235" s="139">
        <v>0</v>
      </c>
      <c r="T235" s="322">
        <f t="shared" si="54"/>
        <v>0</v>
      </c>
      <c r="U235" s="140" t="str">
        <f t="shared" si="55"/>
        <v/>
      </c>
      <c r="V235" s="322">
        <f t="shared" si="51"/>
        <v>0</v>
      </c>
      <c r="W235" s="140" t="str">
        <f t="shared" si="56"/>
        <v/>
      </c>
      <c r="X235" s="322">
        <f t="shared" si="57"/>
        <v>0</v>
      </c>
      <c r="Y235" s="140" t="str">
        <f t="shared" si="58"/>
        <v/>
      </c>
      <c r="Z235" s="519">
        <v>0</v>
      </c>
      <c r="AA235" s="111">
        <f t="shared" si="52"/>
        <v>0</v>
      </c>
      <c r="AB235" s="111">
        <f t="shared" si="53"/>
        <v>0</v>
      </c>
    </row>
    <row r="236" spans="1:28" ht="36.75" customHeight="1">
      <c r="A236" s="114" t="s">
        <v>4538</v>
      </c>
      <c r="B236" s="126" t="s">
        <v>3190</v>
      </c>
      <c r="C236" s="98" t="s">
        <v>3281</v>
      </c>
      <c r="D236" s="98" t="s">
        <v>1694</v>
      </c>
      <c r="E236" s="540" t="s">
        <v>4539</v>
      </c>
      <c r="F236" s="540" t="s">
        <v>4540</v>
      </c>
      <c r="G236" s="511" t="s">
        <v>662</v>
      </c>
      <c r="H236" s="512" t="s">
        <v>4982</v>
      </c>
      <c r="I236" s="544" t="s">
        <v>2783</v>
      </c>
      <c r="J236" s="542" t="s">
        <v>3599</v>
      </c>
      <c r="K236" s="543" t="s">
        <v>3601</v>
      </c>
      <c r="L236" s="95"/>
      <c r="M236" s="104"/>
      <c r="N236" s="137">
        <v>0</v>
      </c>
      <c r="O236" s="138">
        <v>0</v>
      </c>
      <c r="P236" s="138">
        <v>0</v>
      </c>
      <c r="Q236" s="138">
        <v>0</v>
      </c>
      <c r="R236" s="138">
        <v>0</v>
      </c>
      <c r="S236" s="139">
        <v>0</v>
      </c>
      <c r="T236" s="322">
        <f t="shared" si="54"/>
        <v>0</v>
      </c>
      <c r="U236" s="140" t="str">
        <f t="shared" si="55"/>
        <v/>
      </c>
      <c r="V236" s="322">
        <f t="shared" si="51"/>
        <v>0</v>
      </c>
      <c r="W236" s="140" t="str">
        <f t="shared" si="56"/>
        <v/>
      </c>
      <c r="X236" s="322">
        <f t="shared" si="57"/>
        <v>0</v>
      </c>
      <c r="Y236" s="140" t="str">
        <f t="shared" si="58"/>
        <v/>
      </c>
      <c r="Z236" s="519">
        <v>0</v>
      </c>
      <c r="AA236" s="111">
        <f t="shared" si="52"/>
        <v>0</v>
      </c>
      <c r="AB236" s="111">
        <f t="shared" si="53"/>
        <v>0</v>
      </c>
    </row>
    <row r="237" spans="1:28" ht="36.75" customHeight="1">
      <c r="A237" s="115" t="s">
        <v>4541</v>
      </c>
      <c r="B237" s="127" t="s">
        <v>3190</v>
      </c>
      <c r="C237" s="99" t="s">
        <v>1792</v>
      </c>
      <c r="D237" s="99" t="s">
        <v>3185</v>
      </c>
      <c r="E237" s="534" t="s">
        <v>4542</v>
      </c>
      <c r="F237" s="534" t="s">
        <v>4543</v>
      </c>
      <c r="G237" s="511"/>
      <c r="H237" s="511"/>
      <c r="I237" s="544"/>
      <c r="J237" s="542"/>
      <c r="K237" s="543"/>
      <c r="L237" s="95"/>
      <c r="M237" s="104"/>
      <c r="N237" s="137">
        <v>0</v>
      </c>
      <c r="O237" s="138">
        <v>0</v>
      </c>
      <c r="P237" s="138">
        <v>0</v>
      </c>
      <c r="Q237" s="138">
        <v>0</v>
      </c>
      <c r="R237" s="138">
        <v>0</v>
      </c>
      <c r="S237" s="139">
        <v>0</v>
      </c>
      <c r="T237" s="322">
        <f t="shared" si="54"/>
        <v>0</v>
      </c>
      <c r="U237" s="140" t="str">
        <f t="shared" si="55"/>
        <v/>
      </c>
      <c r="V237" s="322">
        <f t="shared" si="51"/>
        <v>0</v>
      </c>
      <c r="W237" s="140" t="str">
        <f t="shared" si="56"/>
        <v/>
      </c>
      <c r="X237" s="322">
        <f t="shared" si="57"/>
        <v>0</v>
      </c>
      <c r="Y237" s="140" t="str">
        <f t="shared" si="58"/>
        <v/>
      </c>
      <c r="Z237" s="519">
        <v>0</v>
      </c>
      <c r="AA237" s="111">
        <f t="shared" si="52"/>
        <v>0</v>
      </c>
      <c r="AB237" s="111">
        <f t="shared" si="53"/>
        <v>0</v>
      </c>
    </row>
    <row r="238" spans="1:28" ht="36.75" customHeight="1">
      <c r="A238" s="114" t="s">
        <v>4544</v>
      </c>
      <c r="B238" s="126" t="s">
        <v>3190</v>
      </c>
      <c r="C238" s="98" t="s">
        <v>1792</v>
      </c>
      <c r="D238" s="98" t="s">
        <v>3183</v>
      </c>
      <c r="E238" s="540" t="s">
        <v>4545</v>
      </c>
      <c r="F238" s="540" t="s">
        <v>4546</v>
      </c>
      <c r="G238" s="511" t="s">
        <v>661</v>
      </c>
      <c r="H238" s="512" t="s">
        <v>2782</v>
      </c>
      <c r="I238" s="544" t="s">
        <v>3449</v>
      </c>
      <c r="J238" s="542" t="s">
        <v>3599</v>
      </c>
      <c r="K238" s="543" t="s">
        <v>3601</v>
      </c>
      <c r="L238" s="95"/>
      <c r="M238" s="104"/>
      <c r="N238" s="137">
        <v>767026.59</v>
      </c>
      <c r="O238" s="138">
        <v>910000</v>
      </c>
      <c r="P238" s="138">
        <v>837000</v>
      </c>
      <c r="Q238" s="138">
        <v>857000</v>
      </c>
      <c r="R238" s="138">
        <v>857000</v>
      </c>
      <c r="S238" s="139">
        <v>857000</v>
      </c>
      <c r="T238" s="322">
        <f t="shared" si="54"/>
        <v>89973.410000000033</v>
      </c>
      <c r="U238" s="140">
        <f t="shared" si="55"/>
        <v>0.11730155274017298</v>
      </c>
      <c r="V238" s="322">
        <f t="shared" si="51"/>
        <v>-53000</v>
      </c>
      <c r="W238" s="140">
        <f t="shared" si="56"/>
        <v>-5.8241758241758243E-2</v>
      </c>
      <c r="X238" s="322">
        <f t="shared" si="57"/>
        <v>20000</v>
      </c>
      <c r="Y238" s="140">
        <f t="shared" si="58"/>
        <v>2.3894862604540025E-2</v>
      </c>
      <c r="Z238" s="519">
        <v>628212.24</v>
      </c>
      <c r="AA238" s="111">
        <f t="shared" si="52"/>
        <v>837616.32</v>
      </c>
      <c r="AB238" s="111">
        <f t="shared" si="53"/>
        <v>-616.31999999994878</v>
      </c>
    </row>
    <row r="239" spans="1:28" ht="42">
      <c r="A239" s="114" t="s">
        <v>4547</v>
      </c>
      <c r="B239" s="126" t="s">
        <v>3190</v>
      </c>
      <c r="C239" s="98" t="s">
        <v>1792</v>
      </c>
      <c r="D239" s="98" t="s">
        <v>3193</v>
      </c>
      <c r="E239" s="540" t="s">
        <v>4548</v>
      </c>
      <c r="F239" s="540" t="s">
        <v>4549</v>
      </c>
      <c r="G239" s="511" t="s">
        <v>662</v>
      </c>
      <c r="H239" s="512" t="s">
        <v>4982</v>
      </c>
      <c r="I239" s="544" t="s">
        <v>2783</v>
      </c>
      <c r="J239" s="542" t="s">
        <v>3599</v>
      </c>
      <c r="K239" s="543" t="s">
        <v>3601</v>
      </c>
      <c r="L239" s="95"/>
      <c r="M239" s="104"/>
      <c r="N239" s="137">
        <v>0</v>
      </c>
      <c r="O239" s="138">
        <v>0</v>
      </c>
      <c r="P239" s="138">
        <v>0</v>
      </c>
      <c r="Q239" s="138">
        <v>0</v>
      </c>
      <c r="R239" s="138">
        <v>0</v>
      </c>
      <c r="S239" s="139">
        <v>0</v>
      </c>
      <c r="T239" s="322">
        <f t="shared" si="54"/>
        <v>0</v>
      </c>
      <c r="U239" s="140" t="str">
        <f t="shared" si="55"/>
        <v/>
      </c>
      <c r="V239" s="322">
        <f t="shared" si="51"/>
        <v>0</v>
      </c>
      <c r="W239" s="140" t="str">
        <f t="shared" si="56"/>
        <v/>
      </c>
      <c r="X239" s="322">
        <f t="shared" si="57"/>
        <v>0</v>
      </c>
      <c r="Y239" s="140" t="str">
        <f t="shared" si="58"/>
        <v/>
      </c>
      <c r="Z239" s="519">
        <v>0</v>
      </c>
      <c r="AA239" s="111">
        <f t="shared" si="52"/>
        <v>0</v>
      </c>
      <c r="AB239" s="111">
        <f t="shared" si="53"/>
        <v>0</v>
      </c>
    </row>
    <row r="240" spans="1:28" ht="36.75" customHeight="1">
      <c r="A240" s="115" t="s">
        <v>4985</v>
      </c>
      <c r="B240" s="308" t="s">
        <v>3190</v>
      </c>
      <c r="C240" s="307" t="s">
        <v>1823</v>
      </c>
      <c r="D240" s="307" t="s">
        <v>3185</v>
      </c>
      <c r="E240" s="560" t="s">
        <v>4986</v>
      </c>
      <c r="F240" s="560" t="s">
        <v>5606</v>
      </c>
      <c r="G240" s="548"/>
      <c r="H240" s="548"/>
      <c r="I240" s="549"/>
      <c r="J240" s="550"/>
      <c r="K240" s="551"/>
      <c r="L240" s="95"/>
      <c r="M240" s="104"/>
      <c r="N240" s="137">
        <v>0</v>
      </c>
      <c r="O240" s="138">
        <v>0</v>
      </c>
      <c r="P240" s="138">
        <v>0</v>
      </c>
      <c r="Q240" s="138">
        <v>0</v>
      </c>
      <c r="R240" s="138">
        <v>0</v>
      </c>
      <c r="S240" s="139">
        <v>0</v>
      </c>
      <c r="T240" s="322">
        <f t="shared" ref="T240:T241" si="59">IF(N240="","",Q240-N240)</f>
        <v>0</v>
      </c>
      <c r="U240" s="140" t="str">
        <f t="shared" ref="U240:U241" si="60">IF(N240=0,"",T240/N240)</f>
        <v/>
      </c>
      <c r="V240" s="322">
        <f t="shared" si="51"/>
        <v>0</v>
      </c>
      <c r="W240" s="140" t="str">
        <f t="shared" ref="W240:W241" si="61">IF(O240=0,"",V240/O240)</f>
        <v/>
      </c>
      <c r="X240" s="322">
        <f t="shared" ref="X240:X241" si="62">IF(P240="","",Q240-P240)</f>
        <v>0</v>
      </c>
      <c r="Y240" s="140" t="str">
        <f t="shared" ref="Y240:Y241" si="63">IF(P240=0,"",X240/P240)</f>
        <v/>
      </c>
      <c r="Z240" s="519">
        <v>0</v>
      </c>
      <c r="AA240" s="111">
        <f t="shared" si="52"/>
        <v>0</v>
      </c>
      <c r="AB240" s="111">
        <f t="shared" si="53"/>
        <v>0</v>
      </c>
    </row>
    <row r="241" spans="1:28" ht="47.25" customHeight="1">
      <c r="A241" s="114" t="s">
        <v>4987</v>
      </c>
      <c r="B241" s="305" t="s">
        <v>3190</v>
      </c>
      <c r="C241" s="306" t="s">
        <v>1823</v>
      </c>
      <c r="D241" s="306" t="s">
        <v>3193</v>
      </c>
      <c r="E241" s="561" t="s">
        <v>5291</v>
      </c>
      <c r="F241" s="561" t="s">
        <v>5429</v>
      </c>
      <c r="G241" s="548" t="s">
        <v>4792</v>
      </c>
      <c r="H241" s="548" t="s">
        <v>2266</v>
      </c>
      <c r="I241" s="549" t="s">
        <v>4988</v>
      </c>
      <c r="J241" s="550" t="s">
        <v>3599</v>
      </c>
      <c r="K241" s="551" t="s">
        <v>3601</v>
      </c>
      <c r="L241" s="95"/>
      <c r="M241" s="104"/>
      <c r="N241" s="137">
        <v>0</v>
      </c>
      <c r="O241" s="138">
        <v>0</v>
      </c>
      <c r="P241" s="138">
        <v>0</v>
      </c>
      <c r="Q241" s="138">
        <v>0</v>
      </c>
      <c r="R241" s="138">
        <v>0</v>
      </c>
      <c r="S241" s="139">
        <v>0</v>
      </c>
      <c r="T241" s="322">
        <f t="shared" si="59"/>
        <v>0</v>
      </c>
      <c r="U241" s="140" t="str">
        <f t="shared" si="60"/>
        <v/>
      </c>
      <c r="V241" s="322">
        <f t="shared" si="51"/>
        <v>0</v>
      </c>
      <c r="W241" s="140" t="str">
        <f t="shared" si="61"/>
        <v/>
      </c>
      <c r="X241" s="322">
        <f t="shared" si="62"/>
        <v>0</v>
      </c>
      <c r="Y241" s="140" t="str">
        <f t="shared" si="63"/>
        <v/>
      </c>
      <c r="Z241" s="519">
        <v>0</v>
      </c>
      <c r="AA241" s="111">
        <f t="shared" si="52"/>
        <v>0</v>
      </c>
      <c r="AB241" s="111">
        <f t="shared" si="53"/>
        <v>0</v>
      </c>
    </row>
    <row r="242" spans="1:28" ht="36.75" customHeight="1">
      <c r="A242" s="115" t="s">
        <v>2110</v>
      </c>
      <c r="B242" s="315" t="s">
        <v>3190</v>
      </c>
      <c r="C242" s="316" t="s">
        <v>3194</v>
      </c>
      <c r="D242" s="316" t="s">
        <v>3185</v>
      </c>
      <c r="E242" s="568" t="s">
        <v>2112</v>
      </c>
      <c r="F242" s="568" t="s">
        <v>2111</v>
      </c>
      <c r="G242" s="564"/>
      <c r="H242" s="564"/>
      <c r="I242" s="565"/>
      <c r="J242" s="566"/>
      <c r="K242" s="567"/>
      <c r="L242" s="95"/>
      <c r="M242" s="104"/>
      <c r="N242" s="137">
        <v>0</v>
      </c>
      <c r="O242" s="138">
        <v>0</v>
      </c>
      <c r="P242" s="138">
        <v>0</v>
      </c>
      <c r="Q242" s="138">
        <v>0</v>
      </c>
      <c r="R242" s="138">
        <v>0</v>
      </c>
      <c r="S242" s="139">
        <v>0</v>
      </c>
      <c r="T242" s="322">
        <f t="shared" si="54"/>
        <v>0</v>
      </c>
      <c r="U242" s="140" t="str">
        <f t="shared" si="55"/>
        <v/>
      </c>
      <c r="V242" s="322">
        <f t="shared" si="51"/>
        <v>0</v>
      </c>
      <c r="W242" s="140" t="str">
        <f t="shared" si="56"/>
        <v/>
      </c>
      <c r="X242" s="322">
        <f t="shared" si="57"/>
        <v>0</v>
      </c>
      <c r="Y242" s="140" t="str">
        <f t="shared" si="58"/>
        <v/>
      </c>
      <c r="Z242" s="519">
        <v>0</v>
      </c>
      <c r="AA242" s="111">
        <f t="shared" si="52"/>
        <v>0</v>
      </c>
      <c r="AB242" s="111">
        <f t="shared" si="53"/>
        <v>0</v>
      </c>
    </row>
    <row r="243" spans="1:28" ht="36.75" customHeight="1">
      <c r="A243" s="114" t="s">
        <v>2113</v>
      </c>
      <c r="B243" s="313" t="s">
        <v>3190</v>
      </c>
      <c r="C243" s="314" t="s">
        <v>3194</v>
      </c>
      <c r="D243" s="314" t="s">
        <v>3183</v>
      </c>
      <c r="E243" s="563" t="s">
        <v>2112</v>
      </c>
      <c r="F243" s="563" t="s">
        <v>2111</v>
      </c>
      <c r="G243" s="564" t="s">
        <v>661</v>
      </c>
      <c r="H243" s="564" t="s">
        <v>3448</v>
      </c>
      <c r="I243" s="565" t="s">
        <v>3449</v>
      </c>
      <c r="J243" s="566" t="s">
        <v>3599</v>
      </c>
      <c r="K243" s="567" t="s">
        <v>3601</v>
      </c>
      <c r="L243" s="95"/>
      <c r="M243" s="104"/>
      <c r="N243" s="137">
        <v>0</v>
      </c>
      <c r="O243" s="138">
        <v>0</v>
      </c>
      <c r="P243" s="138">
        <v>0</v>
      </c>
      <c r="Q243" s="138">
        <v>0</v>
      </c>
      <c r="R243" s="138">
        <v>0</v>
      </c>
      <c r="S243" s="139">
        <v>0</v>
      </c>
      <c r="T243" s="322">
        <f t="shared" si="54"/>
        <v>0</v>
      </c>
      <c r="U243" s="140" t="str">
        <f t="shared" si="55"/>
        <v/>
      </c>
      <c r="V243" s="322">
        <f t="shared" si="51"/>
        <v>0</v>
      </c>
      <c r="W243" s="140" t="str">
        <f t="shared" si="56"/>
        <v/>
      </c>
      <c r="X243" s="322">
        <f t="shared" si="57"/>
        <v>0</v>
      </c>
      <c r="Y243" s="140" t="str">
        <f t="shared" si="58"/>
        <v/>
      </c>
      <c r="Z243" s="519">
        <v>0</v>
      </c>
      <c r="AA243" s="111">
        <f t="shared" si="52"/>
        <v>0</v>
      </c>
      <c r="AB243" s="111">
        <f t="shared" si="53"/>
        <v>0</v>
      </c>
    </row>
    <row r="244" spans="1:28" ht="18" customHeight="1">
      <c r="A244" s="115" t="s">
        <v>2114</v>
      </c>
      <c r="B244" s="124" t="s">
        <v>3190</v>
      </c>
      <c r="C244" s="101" t="s">
        <v>2629</v>
      </c>
      <c r="D244" s="101" t="s">
        <v>3185</v>
      </c>
      <c r="E244" s="554" t="s">
        <v>4411</v>
      </c>
      <c r="F244" s="534" t="s">
        <v>4412</v>
      </c>
      <c r="G244" s="555"/>
      <c r="H244" s="555"/>
      <c r="I244" s="556"/>
      <c r="J244" s="557"/>
      <c r="K244" s="558"/>
      <c r="L244" s="95"/>
      <c r="M244" s="104"/>
      <c r="N244" s="137">
        <v>0</v>
      </c>
      <c r="O244" s="138">
        <v>0</v>
      </c>
      <c r="P244" s="138">
        <v>0</v>
      </c>
      <c r="Q244" s="138">
        <v>0</v>
      </c>
      <c r="R244" s="138">
        <v>0</v>
      </c>
      <c r="S244" s="139">
        <v>0</v>
      </c>
      <c r="T244" s="322">
        <f t="shared" si="54"/>
        <v>0</v>
      </c>
      <c r="U244" s="140" t="str">
        <f t="shared" si="55"/>
        <v/>
      </c>
      <c r="V244" s="322">
        <f t="shared" si="51"/>
        <v>0</v>
      </c>
      <c r="W244" s="140" t="str">
        <f t="shared" si="56"/>
        <v/>
      </c>
      <c r="X244" s="322">
        <f t="shared" si="57"/>
        <v>0</v>
      </c>
      <c r="Y244" s="140" t="str">
        <f t="shared" si="58"/>
        <v/>
      </c>
      <c r="Z244" s="519">
        <v>0</v>
      </c>
      <c r="AA244" s="111">
        <f t="shared" si="52"/>
        <v>0</v>
      </c>
      <c r="AB244" s="111">
        <f t="shared" si="53"/>
        <v>0</v>
      </c>
    </row>
    <row r="245" spans="1:28" ht="28.5" customHeight="1">
      <c r="A245" s="114" t="s">
        <v>2115</v>
      </c>
      <c r="B245" s="125" t="s">
        <v>3190</v>
      </c>
      <c r="C245" s="97" t="s">
        <v>2629</v>
      </c>
      <c r="D245" s="97" t="s">
        <v>3183</v>
      </c>
      <c r="E245" s="559" t="s">
        <v>5430</v>
      </c>
      <c r="F245" s="540" t="s">
        <v>5431</v>
      </c>
      <c r="G245" s="555" t="s">
        <v>50</v>
      </c>
      <c r="H245" s="555" t="s">
        <v>2815</v>
      </c>
      <c r="I245" s="556" t="s">
        <v>2792</v>
      </c>
      <c r="J245" s="542" t="s">
        <v>2074</v>
      </c>
      <c r="K245" s="558" t="s">
        <v>3584</v>
      </c>
      <c r="L245" s="95"/>
      <c r="M245" s="104"/>
      <c r="N245" s="137">
        <v>341571.07</v>
      </c>
      <c r="O245" s="138">
        <v>278000</v>
      </c>
      <c r="P245" s="138">
        <v>320000</v>
      </c>
      <c r="Q245" s="138">
        <v>320000</v>
      </c>
      <c r="R245" s="138">
        <v>320000</v>
      </c>
      <c r="S245" s="139">
        <v>320000</v>
      </c>
      <c r="T245" s="322">
        <f t="shared" si="54"/>
        <v>-21571.070000000007</v>
      </c>
      <c r="U245" s="140">
        <f t="shared" si="55"/>
        <v>-6.3152508788288209E-2</v>
      </c>
      <c r="V245" s="322">
        <f t="shared" si="51"/>
        <v>42000</v>
      </c>
      <c r="W245" s="140">
        <f t="shared" si="56"/>
        <v>0.15107913669064749</v>
      </c>
      <c r="X245" s="322">
        <f t="shared" si="57"/>
        <v>0</v>
      </c>
      <c r="Y245" s="140">
        <f t="shared" si="58"/>
        <v>0</v>
      </c>
      <c r="Z245" s="519">
        <v>240271.61</v>
      </c>
      <c r="AA245" s="111">
        <f t="shared" si="52"/>
        <v>320362.14666666667</v>
      </c>
      <c r="AB245" s="111">
        <f t="shared" si="53"/>
        <v>-362.14666666666744</v>
      </c>
    </row>
    <row r="246" spans="1:28" ht="28.5" customHeight="1">
      <c r="A246" s="114" t="s">
        <v>2816</v>
      </c>
      <c r="B246" s="125" t="s">
        <v>3190</v>
      </c>
      <c r="C246" s="97" t="s">
        <v>2629</v>
      </c>
      <c r="D246" s="97" t="s">
        <v>2138</v>
      </c>
      <c r="E246" s="559" t="s">
        <v>2817</v>
      </c>
      <c r="F246" s="540" t="s">
        <v>5292</v>
      </c>
      <c r="G246" s="555" t="s">
        <v>54</v>
      </c>
      <c r="H246" s="555" t="s">
        <v>2818</v>
      </c>
      <c r="I246" s="556" t="s">
        <v>1251</v>
      </c>
      <c r="J246" s="542" t="s">
        <v>2074</v>
      </c>
      <c r="K246" s="558" t="s">
        <v>3584</v>
      </c>
      <c r="L246" s="95"/>
      <c r="M246" s="104"/>
      <c r="N246" s="137">
        <v>6002197.96</v>
      </c>
      <c r="O246" s="138">
        <v>5297000</v>
      </c>
      <c r="P246" s="138">
        <v>6352000</v>
      </c>
      <c r="Q246" s="138">
        <v>6352000</v>
      </c>
      <c r="R246" s="138">
        <v>6352000</v>
      </c>
      <c r="S246" s="139">
        <v>6352000</v>
      </c>
      <c r="T246" s="322">
        <f t="shared" si="54"/>
        <v>349802.04000000004</v>
      </c>
      <c r="U246" s="140">
        <f t="shared" si="55"/>
        <v>5.8278990851544664E-2</v>
      </c>
      <c r="V246" s="322">
        <f t="shared" si="51"/>
        <v>1055000</v>
      </c>
      <c r="W246" s="140">
        <f t="shared" si="56"/>
        <v>0.19916934113649234</v>
      </c>
      <c r="X246" s="322">
        <f t="shared" si="57"/>
        <v>0</v>
      </c>
      <c r="Y246" s="140">
        <f t="shared" si="58"/>
        <v>0</v>
      </c>
      <c r="Z246" s="519">
        <v>4763701.63</v>
      </c>
      <c r="AA246" s="111">
        <f t="shared" si="52"/>
        <v>6351602.1733333329</v>
      </c>
      <c r="AB246" s="111">
        <f t="shared" si="53"/>
        <v>397.82666666712612</v>
      </c>
    </row>
    <row r="247" spans="1:28" ht="28.5" customHeight="1">
      <c r="A247" s="114" t="s">
        <v>2116</v>
      </c>
      <c r="B247" s="125" t="s">
        <v>3190</v>
      </c>
      <c r="C247" s="97" t="s">
        <v>2629</v>
      </c>
      <c r="D247" s="97" t="s">
        <v>3193</v>
      </c>
      <c r="E247" s="559" t="s">
        <v>4413</v>
      </c>
      <c r="F247" s="540" t="s">
        <v>5293</v>
      </c>
      <c r="G247" s="555" t="s">
        <v>50</v>
      </c>
      <c r="H247" s="555" t="s">
        <v>2815</v>
      </c>
      <c r="I247" s="556" t="s">
        <v>2792</v>
      </c>
      <c r="J247" s="542" t="s">
        <v>2074</v>
      </c>
      <c r="K247" s="558" t="s">
        <v>3584</v>
      </c>
      <c r="L247" s="95"/>
      <c r="M247" s="104"/>
      <c r="N247" s="137">
        <v>1066634.22</v>
      </c>
      <c r="O247" s="138">
        <v>1085000</v>
      </c>
      <c r="P247" s="138">
        <v>1085000</v>
      </c>
      <c r="Q247" s="138">
        <v>1085000</v>
      </c>
      <c r="R247" s="138">
        <v>1085000</v>
      </c>
      <c r="S247" s="139">
        <v>1085000</v>
      </c>
      <c r="T247" s="322">
        <f t="shared" si="54"/>
        <v>18365.780000000028</v>
      </c>
      <c r="U247" s="140">
        <f t="shared" si="55"/>
        <v>1.7218442513498234E-2</v>
      </c>
      <c r="V247" s="322">
        <f t="shared" si="51"/>
        <v>0</v>
      </c>
      <c r="W247" s="140">
        <f t="shared" si="56"/>
        <v>0</v>
      </c>
      <c r="X247" s="322">
        <f t="shared" si="57"/>
        <v>0</v>
      </c>
      <c r="Y247" s="140">
        <f t="shared" si="58"/>
        <v>0</v>
      </c>
      <c r="Z247" s="519">
        <v>813999.36</v>
      </c>
      <c r="AA247" s="111">
        <f t="shared" si="52"/>
        <v>1085332.48</v>
      </c>
      <c r="AB247" s="111">
        <f t="shared" si="53"/>
        <v>-332.47999999998137</v>
      </c>
    </row>
    <row r="248" spans="1:28" ht="36.75" customHeight="1">
      <c r="A248" s="116" t="s">
        <v>4414</v>
      </c>
      <c r="B248" s="126" t="s">
        <v>3190</v>
      </c>
      <c r="C248" s="98" t="s">
        <v>2629</v>
      </c>
      <c r="D248" s="98" t="s">
        <v>1397</v>
      </c>
      <c r="E248" s="540" t="s">
        <v>4415</v>
      </c>
      <c r="F248" s="540" t="s">
        <v>5432</v>
      </c>
      <c r="G248" s="511" t="s">
        <v>50</v>
      </c>
      <c r="H248" s="511" t="s">
        <v>2815</v>
      </c>
      <c r="I248" s="544" t="s">
        <v>2792</v>
      </c>
      <c r="J248" s="542" t="s">
        <v>2074</v>
      </c>
      <c r="K248" s="543" t="s">
        <v>3584</v>
      </c>
      <c r="L248" s="95"/>
      <c r="M248" s="104"/>
      <c r="N248" s="137">
        <v>0</v>
      </c>
      <c r="O248" s="138">
        <v>0</v>
      </c>
      <c r="P248" s="138">
        <v>0</v>
      </c>
      <c r="Q248" s="138">
        <v>160000</v>
      </c>
      <c r="R248" s="138">
        <v>160000</v>
      </c>
      <c r="S248" s="139">
        <v>160000</v>
      </c>
      <c r="T248" s="322">
        <f t="shared" si="54"/>
        <v>160000</v>
      </c>
      <c r="U248" s="140" t="str">
        <f t="shared" si="55"/>
        <v/>
      </c>
      <c r="V248" s="322">
        <f t="shared" si="51"/>
        <v>160000</v>
      </c>
      <c r="W248" s="140" t="str">
        <f t="shared" si="56"/>
        <v/>
      </c>
      <c r="X248" s="322">
        <f t="shared" si="57"/>
        <v>160000</v>
      </c>
      <c r="Y248" s="140" t="str">
        <f t="shared" si="58"/>
        <v/>
      </c>
      <c r="Z248" s="519">
        <v>0</v>
      </c>
      <c r="AA248" s="111">
        <f t="shared" si="52"/>
        <v>0</v>
      </c>
      <c r="AB248" s="111">
        <f t="shared" si="53"/>
        <v>0</v>
      </c>
    </row>
    <row r="249" spans="1:28" ht="36.75" customHeight="1">
      <c r="A249" s="116" t="s">
        <v>4635</v>
      </c>
      <c r="B249" s="126" t="s">
        <v>3190</v>
      </c>
      <c r="C249" s="98" t="s">
        <v>2629</v>
      </c>
      <c r="D249" s="98" t="s">
        <v>1398</v>
      </c>
      <c r="E249" s="540" t="s">
        <v>4636</v>
      </c>
      <c r="F249" s="540" t="s">
        <v>5433</v>
      </c>
      <c r="G249" s="511" t="s">
        <v>54</v>
      </c>
      <c r="H249" s="511" t="s">
        <v>2818</v>
      </c>
      <c r="I249" s="544" t="s">
        <v>1251</v>
      </c>
      <c r="J249" s="542" t="s">
        <v>2074</v>
      </c>
      <c r="K249" s="543" t="s">
        <v>3584</v>
      </c>
      <c r="L249" s="95"/>
      <c r="M249" s="104"/>
      <c r="N249" s="137">
        <v>0</v>
      </c>
      <c r="O249" s="138">
        <v>326000</v>
      </c>
      <c r="P249" s="138">
        <v>0</v>
      </c>
      <c r="Q249" s="138">
        <v>326000</v>
      </c>
      <c r="R249" s="138">
        <v>326000</v>
      </c>
      <c r="S249" s="139">
        <v>326000</v>
      </c>
      <c r="T249" s="322">
        <f t="shared" si="54"/>
        <v>326000</v>
      </c>
      <c r="U249" s="140" t="str">
        <f t="shared" si="55"/>
        <v/>
      </c>
      <c r="V249" s="322">
        <f t="shared" si="51"/>
        <v>0</v>
      </c>
      <c r="W249" s="140">
        <f t="shared" si="56"/>
        <v>0</v>
      </c>
      <c r="X249" s="322">
        <f t="shared" si="57"/>
        <v>326000</v>
      </c>
      <c r="Y249" s="140" t="str">
        <f t="shared" si="58"/>
        <v/>
      </c>
      <c r="Z249" s="519">
        <v>0</v>
      </c>
      <c r="AA249" s="111">
        <f t="shared" si="52"/>
        <v>0</v>
      </c>
      <c r="AB249" s="111">
        <f t="shared" si="53"/>
        <v>0</v>
      </c>
    </row>
    <row r="250" spans="1:28" ht="36" customHeight="1">
      <c r="A250" s="114" t="s">
        <v>2819</v>
      </c>
      <c r="B250" s="125" t="s">
        <v>3190</v>
      </c>
      <c r="C250" s="97" t="s">
        <v>2629</v>
      </c>
      <c r="D250" s="97" t="s">
        <v>1401</v>
      </c>
      <c r="E250" s="559" t="s">
        <v>4416</v>
      </c>
      <c r="F250" s="540" t="s">
        <v>5294</v>
      </c>
      <c r="G250" s="555" t="s">
        <v>54</v>
      </c>
      <c r="H250" s="555" t="s">
        <v>2818</v>
      </c>
      <c r="I250" s="556" t="s">
        <v>1251</v>
      </c>
      <c r="J250" s="542" t="s">
        <v>2074</v>
      </c>
      <c r="K250" s="558" t="s">
        <v>3584</v>
      </c>
      <c r="L250" s="95"/>
      <c r="M250" s="104"/>
      <c r="N250" s="137">
        <v>16888731.419999998</v>
      </c>
      <c r="O250" s="138">
        <v>16935000</v>
      </c>
      <c r="P250" s="138">
        <v>16935000</v>
      </c>
      <c r="Q250" s="138">
        <v>16935000</v>
      </c>
      <c r="R250" s="138">
        <v>16935000</v>
      </c>
      <c r="S250" s="139">
        <v>16935000</v>
      </c>
      <c r="T250" s="322">
        <f t="shared" si="54"/>
        <v>46268.580000001937</v>
      </c>
      <c r="U250" s="140">
        <f t="shared" si="55"/>
        <v>2.7396125173267715E-3</v>
      </c>
      <c r="V250" s="322">
        <f t="shared" si="51"/>
        <v>0</v>
      </c>
      <c r="W250" s="140">
        <f t="shared" si="56"/>
        <v>0</v>
      </c>
      <c r="X250" s="322">
        <f t="shared" si="57"/>
        <v>0</v>
      </c>
      <c r="Y250" s="140">
        <f t="shared" si="58"/>
        <v>0</v>
      </c>
      <c r="Z250" s="519">
        <v>12701140.57</v>
      </c>
      <c r="AA250" s="111">
        <f t="shared" si="52"/>
        <v>16934854.093333334</v>
      </c>
      <c r="AB250" s="111">
        <f t="shared" si="53"/>
        <v>145.9066666662693</v>
      </c>
    </row>
    <row r="251" spans="1:28" ht="28.5" customHeight="1">
      <c r="A251" s="114" t="s">
        <v>2118</v>
      </c>
      <c r="B251" s="125" t="s">
        <v>3190</v>
      </c>
      <c r="C251" s="97" t="s">
        <v>2629</v>
      </c>
      <c r="D251" s="97" t="s">
        <v>2631</v>
      </c>
      <c r="E251" s="559" t="s">
        <v>5295</v>
      </c>
      <c r="F251" s="540" t="s">
        <v>2820</v>
      </c>
      <c r="G251" s="555" t="s">
        <v>50</v>
      </c>
      <c r="H251" s="555" t="s">
        <v>2815</v>
      </c>
      <c r="I251" s="556" t="s">
        <v>2792</v>
      </c>
      <c r="J251" s="542" t="s">
        <v>2074</v>
      </c>
      <c r="K251" s="558" t="s">
        <v>3584</v>
      </c>
      <c r="L251" s="95"/>
      <c r="M251" s="104"/>
      <c r="N251" s="137">
        <v>34925.919999999998</v>
      </c>
      <c r="O251" s="138">
        <v>39000</v>
      </c>
      <c r="P251" s="138">
        <v>39000</v>
      </c>
      <c r="Q251" s="138">
        <v>39000</v>
      </c>
      <c r="R251" s="138">
        <v>39000</v>
      </c>
      <c r="S251" s="139">
        <v>39000</v>
      </c>
      <c r="T251" s="322">
        <f t="shared" si="54"/>
        <v>4074.0800000000017</v>
      </c>
      <c r="U251" s="140">
        <f t="shared" si="55"/>
        <v>0.1166491820401582</v>
      </c>
      <c r="V251" s="322">
        <f t="shared" si="51"/>
        <v>0</v>
      </c>
      <c r="W251" s="140">
        <f t="shared" si="56"/>
        <v>0</v>
      </c>
      <c r="X251" s="322">
        <f t="shared" si="57"/>
        <v>0</v>
      </c>
      <c r="Y251" s="140">
        <f t="shared" si="58"/>
        <v>0</v>
      </c>
      <c r="Z251" s="519">
        <v>28764.720000000001</v>
      </c>
      <c r="AA251" s="111">
        <f t="shared" si="52"/>
        <v>38352.959999999999</v>
      </c>
      <c r="AB251" s="111">
        <f t="shared" si="53"/>
        <v>647.04000000000087</v>
      </c>
    </row>
    <row r="252" spans="1:28" ht="28.5" customHeight="1">
      <c r="A252" s="114" t="s">
        <v>2821</v>
      </c>
      <c r="B252" s="125" t="s">
        <v>3190</v>
      </c>
      <c r="C252" s="97" t="s">
        <v>2629</v>
      </c>
      <c r="D252" s="97" t="s">
        <v>1552</v>
      </c>
      <c r="E252" s="559" t="s">
        <v>2822</v>
      </c>
      <c r="F252" s="540" t="s">
        <v>4417</v>
      </c>
      <c r="G252" s="555" t="s">
        <v>54</v>
      </c>
      <c r="H252" s="555" t="s">
        <v>2818</v>
      </c>
      <c r="I252" s="556" t="s">
        <v>1251</v>
      </c>
      <c r="J252" s="542" t="s">
        <v>2074</v>
      </c>
      <c r="K252" s="558" t="s">
        <v>3584</v>
      </c>
      <c r="L252" s="95"/>
      <c r="M252" s="104"/>
      <c r="N252" s="137">
        <v>730145.62</v>
      </c>
      <c r="O252" s="138">
        <v>755000</v>
      </c>
      <c r="P252" s="138">
        <v>755000</v>
      </c>
      <c r="Q252" s="138">
        <v>755000</v>
      </c>
      <c r="R252" s="138">
        <v>755000</v>
      </c>
      <c r="S252" s="139">
        <v>755000</v>
      </c>
      <c r="T252" s="322">
        <f t="shared" si="54"/>
        <v>24854.380000000005</v>
      </c>
      <c r="U252" s="140">
        <f t="shared" si="55"/>
        <v>3.404030554891229E-2</v>
      </c>
      <c r="V252" s="322">
        <f t="shared" si="51"/>
        <v>0</v>
      </c>
      <c r="W252" s="140">
        <f t="shared" si="56"/>
        <v>0</v>
      </c>
      <c r="X252" s="322">
        <f t="shared" si="57"/>
        <v>0</v>
      </c>
      <c r="Y252" s="140">
        <f t="shared" si="58"/>
        <v>0</v>
      </c>
      <c r="Z252" s="519">
        <v>566446.6</v>
      </c>
      <c r="AA252" s="111">
        <f t="shared" si="52"/>
        <v>755262.1333333333</v>
      </c>
      <c r="AB252" s="111">
        <f t="shared" si="53"/>
        <v>-262.13333333330229</v>
      </c>
    </row>
    <row r="253" spans="1:28" ht="28.5" customHeight="1">
      <c r="A253" s="114" t="s">
        <v>2119</v>
      </c>
      <c r="B253" s="125" t="s">
        <v>3190</v>
      </c>
      <c r="C253" s="97" t="s">
        <v>2629</v>
      </c>
      <c r="D253" s="97" t="s">
        <v>1404</v>
      </c>
      <c r="E253" s="559" t="s">
        <v>2823</v>
      </c>
      <c r="F253" s="540" t="s">
        <v>2824</v>
      </c>
      <c r="G253" s="555" t="s">
        <v>50</v>
      </c>
      <c r="H253" s="555" t="s">
        <v>2815</v>
      </c>
      <c r="I253" s="556" t="s">
        <v>2792</v>
      </c>
      <c r="J253" s="542" t="s">
        <v>2074</v>
      </c>
      <c r="K253" s="558" t="s">
        <v>3584</v>
      </c>
      <c r="L253" s="95"/>
      <c r="M253" s="104"/>
      <c r="N253" s="137">
        <v>73501.66</v>
      </c>
      <c r="O253" s="138">
        <v>77000</v>
      </c>
      <c r="P253" s="138">
        <v>77000</v>
      </c>
      <c r="Q253" s="138">
        <v>77000</v>
      </c>
      <c r="R253" s="138">
        <v>77000</v>
      </c>
      <c r="S253" s="139">
        <v>77000</v>
      </c>
      <c r="T253" s="322">
        <f t="shared" si="54"/>
        <v>3498.3399999999965</v>
      </c>
      <c r="U253" s="140">
        <f t="shared" si="55"/>
        <v>4.7595387641585191E-2</v>
      </c>
      <c r="V253" s="322">
        <f t="shared" si="51"/>
        <v>0</v>
      </c>
      <c r="W253" s="140">
        <f t="shared" si="56"/>
        <v>0</v>
      </c>
      <c r="X253" s="322">
        <f t="shared" si="57"/>
        <v>0</v>
      </c>
      <c r="Y253" s="140">
        <f t="shared" si="58"/>
        <v>0</v>
      </c>
      <c r="Z253" s="519">
        <v>58058.17</v>
      </c>
      <c r="AA253" s="111">
        <f t="shared" si="52"/>
        <v>77410.893333333326</v>
      </c>
      <c r="AB253" s="111">
        <f t="shared" si="53"/>
        <v>-410.89333333332615</v>
      </c>
    </row>
    <row r="254" spans="1:28" ht="28.5" customHeight="1">
      <c r="A254" s="114" t="s">
        <v>2825</v>
      </c>
      <c r="B254" s="125" t="s">
        <v>3190</v>
      </c>
      <c r="C254" s="97" t="s">
        <v>2629</v>
      </c>
      <c r="D254" s="97" t="s">
        <v>1555</v>
      </c>
      <c r="E254" s="559" t="s">
        <v>2274</v>
      </c>
      <c r="F254" s="540" t="s">
        <v>4418</v>
      </c>
      <c r="G254" s="555" t="s">
        <v>54</v>
      </c>
      <c r="H254" s="555" t="s">
        <v>2818</v>
      </c>
      <c r="I254" s="556" t="s">
        <v>1251</v>
      </c>
      <c r="J254" s="542" t="s">
        <v>2074</v>
      </c>
      <c r="K254" s="558" t="s">
        <v>3584</v>
      </c>
      <c r="L254" s="95"/>
      <c r="M254" s="104"/>
      <c r="N254" s="137">
        <v>2528942.25</v>
      </c>
      <c r="O254" s="138">
        <v>2520000</v>
      </c>
      <c r="P254" s="138">
        <v>2400000</v>
      </c>
      <c r="Q254" s="138">
        <v>2400000</v>
      </c>
      <c r="R254" s="138">
        <v>2400000</v>
      </c>
      <c r="S254" s="139">
        <v>2400000</v>
      </c>
      <c r="T254" s="322">
        <f t="shared" si="54"/>
        <v>-128942.25</v>
      </c>
      <c r="U254" s="140">
        <f t="shared" si="55"/>
        <v>-5.0986632850157018E-2</v>
      </c>
      <c r="V254" s="322">
        <f t="shared" si="51"/>
        <v>-120000</v>
      </c>
      <c r="W254" s="140">
        <f t="shared" si="56"/>
        <v>-4.7619047619047616E-2</v>
      </c>
      <c r="X254" s="322">
        <f t="shared" si="57"/>
        <v>0</v>
      </c>
      <c r="Y254" s="140">
        <f t="shared" si="58"/>
        <v>0</v>
      </c>
      <c r="Z254" s="519">
        <v>1799763.73</v>
      </c>
      <c r="AA254" s="111">
        <f t="shared" si="52"/>
        <v>2399684.9733333332</v>
      </c>
      <c r="AB254" s="111">
        <f t="shared" si="53"/>
        <v>315.02666666684672</v>
      </c>
    </row>
    <row r="255" spans="1:28" ht="15.75" customHeight="1">
      <c r="A255" s="115" t="s">
        <v>2120</v>
      </c>
      <c r="B255" s="124" t="s">
        <v>3190</v>
      </c>
      <c r="C255" s="101" t="s">
        <v>2139</v>
      </c>
      <c r="D255" s="101" t="s">
        <v>3185</v>
      </c>
      <c r="E255" s="554" t="s">
        <v>2122</v>
      </c>
      <c r="F255" s="534" t="s">
        <v>2121</v>
      </c>
      <c r="G255" s="555"/>
      <c r="H255" s="555"/>
      <c r="I255" s="556"/>
      <c r="J255" s="557"/>
      <c r="K255" s="558"/>
      <c r="L255" s="95"/>
      <c r="M255" s="104"/>
      <c r="N255" s="137">
        <v>0</v>
      </c>
      <c r="O255" s="138">
        <v>0</v>
      </c>
      <c r="P255" s="138">
        <v>0</v>
      </c>
      <c r="Q255" s="138">
        <v>0</v>
      </c>
      <c r="R255" s="138">
        <v>0</v>
      </c>
      <c r="S255" s="139">
        <v>0</v>
      </c>
      <c r="T255" s="322">
        <f t="shared" si="54"/>
        <v>0</v>
      </c>
      <c r="U255" s="140" t="str">
        <f t="shared" si="55"/>
        <v/>
      </c>
      <c r="V255" s="322">
        <f t="shared" si="51"/>
        <v>0</v>
      </c>
      <c r="W255" s="140" t="str">
        <f t="shared" si="56"/>
        <v/>
      </c>
      <c r="X255" s="322">
        <f t="shared" si="57"/>
        <v>0</v>
      </c>
      <c r="Y255" s="140" t="str">
        <f t="shared" si="58"/>
        <v/>
      </c>
      <c r="Z255" s="519">
        <v>0</v>
      </c>
      <c r="AA255" s="111">
        <f t="shared" si="52"/>
        <v>0</v>
      </c>
      <c r="AB255" s="111">
        <f t="shared" si="53"/>
        <v>0</v>
      </c>
    </row>
    <row r="256" spans="1:28" ht="15.75" customHeight="1">
      <c r="A256" s="114" t="s">
        <v>2123</v>
      </c>
      <c r="B256" s="125" t="s">
        <v>3190</v>
      </c>
      <c r="C256" s="97" t="s">
        <v>2139</v>
      </c>
      <c r="D256" s="97" t="s">
        <v>3183</v>
      </c>
      <c r="E256" s="559" t="s">
        <v>2275</v>
      </c>
      <c r="F256" s="540" t="s">
        <v>2276</v>
      </c>
      <c r="G256" s="555" t="s">
        <v>635</v>
      </c>
      <c r="H256" s="555" t="s">
        <v>2277</v>
      </c>
      <c r="I256" s="556" t="s">
        <v>1251</v>
      </c>
      <c r="J256" s="542" t="s">
        <v>3593</v>
      </c>
      <c r="K256" s="558" t="s">
        <v>3595</v>
      </c>
      <c r="L256" s="95"/>
      <c r="M256" s="104"/>
      <c r="N256" s="137">
        <v>39963.440000000002</v>
      </c>
      <c r="O256" s="138">
        <v>38000</v>
      </c>
      <c r="P256" s="138">
        <v>38000</v>
      </c>
      <c r="Q256" s="138">
        <v>38000</v>
      </c>
      <c r="R256" s="138">
        <v>38000</v>
      </c>
      <c r="S256" s="139">
        <v>38000</v>
      </c>
      <c r="T256" s="322">
        <f t="shared" si="54"/>
        <v>-1963.4400000000023</v>
      </c>
      <c r="U256" s="140">
        <f t="shared" si="55"/>
        <v>-4.913090564776211E-2</v>
      </c>
      <c r="V256" s="322">
        <f t="shared" si="51"/>
        <v>0</v>
      </c>
      <c r="W256" s="140">
        <f t="shared" si="56"/>
        <v>0</v>
      </c>
      <c r="X256" s="322">
        <f t="shared" si="57"/>
        <v>0</v>
      </c>
      <c r="Y256" s="140">
        <f t="shared" si="58"/>
        <v>0</v>
      </c>
      <c r="Z256" s="519">
        <v>28998.12</v>
      </c>
      <c r="AA256" s="111">
        <f t="shared" si="52"/>
        <v>38664.159999999996</v>
      </c>
      <c r="AB256" s="111">
        <f t="shared" si="53"/>
        <v>-664.15999999999622</v>
      </c>
    </row>
    <row r="257" spans="1:28" ht="36.75" customHeight="1">
      <c r="A257" s="114" t="s">
        <v>2278</v>
      </c>
      <c r="B257" s="125" t="s">
        <v>3190</v>
      </c>
      <c r="C257" s="97" t="s">
        <v>2139</v>
      </c>
      <c r="D257" s="97" t="s">
        <v>3193</v>
      </c>
      <c r="E257" s="559" t="s">
        <v>2279</v>
      </c>
      <c r="F257" s="540" t="s">
        <v>2280</v>
      </c>
      <c r="G257" s="511" t="s">
        <v>182</v>
      </c>
      <c r="H257" s="511" t="s">
        <v>3433</v>
      </c>
      <c r="I257" s="556" t="s">
        <v>3434</v>
      </c>
      <c r="J257" s="557" t="s">
        <v>2869</v>
      </c>
      <c r="K257" s="558" t="s">
        <v>2871</v>
      </c>
      <c r="L257" s="95"/>
      <c r="M257" s="104"/>
      <c r="N257" s="137">
        <v>0</v>
      </c>
      <c r="O257" s="138">
        <v>0</v>
      </c>
      <c r="P257" s="138">
        <v>0</v>
      </c>
      <c r="Q257" s="138">
        <v>0</v>
      </c>
      <c r="R257" s="138">
        <v>0</v>
      </c>
      <c r="S257" s="139">
        <v>0</v>
      </c>
      <c r="T257" s="322">
        <f t="shared" si="54"/>
        <v>0</v>
      </c>
      <c r="U257" s="140" t="str">
        <f t="shared" si="55"/>
        <v/>
      </c>
      <c r="V257" s="322">
        <f t="shared" si="51"/>
        <v>0</v>
      </c>
      <c r="W257" s="140" t="str">
        <f t="shared" si="56"/>
        <v/>
      </c>
      <c r="X257" s="322">
        <f t="shared" si="57"/>
        <v>0</v>
      </c>
      <c r="Y257" s="140" t="str">
        <f t="shared" si="58"/>
        <v/>
      </c>
      <c r="Z257" s="519">
        <v>0</v>
      </c>
      <c r="AA257" s="111">
        <f t="shared" si="52"/>
        <v>0</v>
      </c>
      <c r="AB257" s="111">
        <f t="shared" si="53"/>
        <v>0</v>
      </c>
    </row>
    <row r="258" spans="1:28" ht="31.5">
      <c r="A258" s="114" t="s">
        <v>2281</v>
      </c>
      <c r="B258" s="125" t="s">
        <v>3190</v>
      </c>
      <c r="C258" s="97" t="s">
        <v>2139</v>
      </c>
      <c r="D258" s="97" t="s">
        <v>1397</v>
      </c>
      <c r="E258" s="559" t="s">
        <v>5434</v>
      </c>
      <c r="F258" s="540" t="s">
        <v>4595</v>
      </c>
      <c r="G258" s="555" t="s">
        <v>633</v>
      </c>
      <c r="H258" s="555" t="s">
        <v>2282</v>
      </c>
      <c r="I258" s="556" t="s">
        <v>3437</v>
      </c>
      <c r="J258" s="542" t="s">
        <v>3593</v>
      </c>
      <c r="K258" s="558" t="s">
        <v>3595</v>
      </c>
      <c r="L258" s="95"/>
      <c r="M258" s="104"/>
      <c r="N258" s="361">
        <v>627000</v>
      </c>
      <c r="O258" s="318">
        <v>627000</v>
      </c>
      <c r="P258" s="318">
        <v>669000</v>
      </c>
      <c r="Q258" s="318">
        <v>494000</v>
      </c>
      <c r="R258" s="318">
        <v>494000</v>
      </c>
      <c r="S258" s="319">
        <v>494000</v>
      </c>
      <c r="T258" s="322">
        <f t="shared" si="54"/>
        <v>-133000</v>
      </c>
      <c r="U258" s="140">
        <f t="shared" si="55"/>
        <v>-0.21212121212121213</v>
      </c>
      <c r="V258" s="322">
        <f t="shared" si="51"/>
        <v>-133000</v>
      </c>
      <c r="W258" s="140">
        <f t="shared" si="56"/>
        <v>-0.21212121212121213</v>
      </c>
      <c r="X258" s="322">
        <f t="shared" si="57"/>
        <v>-175000</v>
      </c>
      <c r="Y258" s="140">
        <f t="shared" si="58"/>
        <v>-0.26158445440956651</v>
      </c>
      <c r="Z258" s="519">
        <v>470000</v>
      </c>
      <c r="AA258" s="111">
        <f t="shared" si="52"/>
        <v>626666.66666666663</v>
      </c>
      <c r="AB258" s="111">
        <f t="shared" si="53"/>
        <v>42333.333333333372</v>
      </c>
    </row>
    <row r="259" spans="1:28" ht="25.5" customHeight="1">
      <c r="A259" s="117" t="s">
        <v>2124</v>
      </c>
      <c r="B259" s="127" t="s">
        <v>3190</v>
      </c>
      <c r="C259" s="99" t="s">
        <v>2125</v>
      </c>
      <c r="D259" s="99" t="s">
        <v>3185</v>
      </c>
      <c r="E259" s="534" t="s">
        <v>2283</v>
      </c>
      <c r="F259" s="534" t="s">
        <v>2284</v>
      </c>
      <c r="G259" s="555"/>
      <c r="H259" s="555"/>
      <c r="I259" s="556"/>
      <c r="J259" s="557"/>
      <c r="K259" s="558"/>
      <c r="L259" s="95"/>
      <c r="M259" s="104"/>
      <c r="N259" s="137">
        <v>0</v>
      </c>
      <c r="O259" s="138">
        <v>0</v>
      </c>
      <c r="P259" s="138">
        <v>0</v>
      </c>
      <c r="Q259" s="138">
        <v>0</v>
      </c>
      <c r="R259" s="138">
        <v>0</v>
      </c>
      <c r="S259" s="139">
        <v>0</v>
      </c>
      <c r="T259" s="322">
        <f t="shared" si="54"/>
        <v>0</v>
      </c>
      <c r="U259" s="140" t="str">
        <f t="shared" si="55"/>
        <v/>
      </c>
      <c r="V259" s="322">
        <f t="shared" si="51"/>
        <v>0</v>
      </c>
      <c r="W259" s="140" t="str">
        <f t="shared" si="56"/>
        <v/>
      </c>
      <c r="X259" s="322">
        <f t="shared" si="57"/>
        <v>0</v>
      </c>
      <c r="Y259" s="140" t="str">
        <f t="shared" si="58"/>
        <v/>
      </c>
      <c r="Z259" s="519">
        <v>0</v>
      </c>
      <c r="AA259" s="111">
        <f t="shared" si="52"/>
        <v>0</v>
      </c>
      <c r="AB259" s="111">
        <f t="shared" si="53"/>
        <v>0</v>
      </c>
    </row>
    <row r="260" spans="1:28" ht="25.5" customHeight="1">
      <c r="A260" s="116" t="s">
        <v>2126</v>
      </c>
      <c r="B260" s="125" t="s">
        <v>3190</v>
      </c>
      <c r="C260" s="97" t="s">
        <v>2125</v>
      </c>
      <c r="D260" s="97" t="s">
        <v>3183</v>
      </c>
      <c r="E260" s="540" t="s">
        <v>2283</v>
      </c>
      <c r="F260" s="540" t="s">
        <v>2284</v>
      </c>
      <c r="G260" s="555" t="s">
        <v>64</v>
      </c>
      <c r="H260" s="555" t="s">
        <v>3290</v>
      </c>
      <c r="I260" s="556" t="s">
        <v>1251</v>
      </c>
      <c r="J260" s="557" t="s">
        <v>1951</v>
      </c>
      <c r="K260" s="558" t="s">
        <v>3586</v>
      </c>
      <c r="L260" s="95"/>
      <c r="M260" s="104"/>
      <c r="N260" s="137">
        <v>612571.46</v>
      </c>
      <c r="O260" s="138">
        <v>856000</v>
      </c>
      <c r="P260" s="138">
        <v>856000</v>
      </c>
      <c r="Q260" s="138">
        <v>882000</v>
      </c>
      <c r="R260" s="138">
        <v>908000</v>
      </c>
      <c r="S260" s="139">
        <v>935000</v>
      </c>
      <c r="T260" s="322">
        <f t="shared" si="54"/>
        <v>269428.54000000004</v>
      </c>
      <c r="U260" s="140">
        <f t="shared" si="55"/>
        <v>0.43983201568026048</v>
      </c>
      <c r="V260" s="322">
        <f t="shared" si="51"/>
        <v>26000</v>
      </c>
      <c r="W260" s="140">
        <f t="shared" si="56"/>
        <v>3.0373831775700934E-2</v>
      </c>
      <c r="X260" s="322">
        <f t="shared" si="57"/>
        <v>26000</v>
      </c>
      <c r="Y260" s="140">
        <f t="shared" si="58"/>
        <v>3.0373831775700934E-2</v>
      </c>
      <c r="Z260" s="519">
        <v>642094.33000000007</v>
      </c>
      <c r="AA260" s="111">
        <f t="shared" si="52"/>
        <v>856125.77333333343</v>
      </c>
      <c r="AB260" s="111">
        <f t="shared" si="53"/>
        <v>-125.77333333343267</v>
      </c>
    </row>
    <row r="261" spans="1:28" ht="25.5" customHeight="1">
      <c r="A261" s="117" t="s">
        <v>2285</v>
      </c>
      <c r="B261" s="127" t="s">
        <v>3190</v>
      </c>
      <c r="C261" s="99" t="s">
        <v>2286</v>
      </c>
      <c r="D261" s="99" t="s">
        <v>3185</v>
      </c>
      <c r="E261" s="554" t="s">
        <v>2287</v>
      </c>
      <c r="F261" s="554" t="s">
        <v>2288</v>
      </c>
      <c r="G261" s="555"/>
      <c r="H261" s="555"/>
      <c r="I261" s="556"/>
      <c r="J261" s="557"/>
      <c r="K261" s="558"/>
      <c r="L261" s="95"/>
      <c r="M261" s="104"/>
      <c r="N261" s="137">
        <v>0</v>
      </c>
      <c r="O261" s="138">
        <v>0</v>
      </c>
      <c r="P261" s="138">
        <v>0</v>
      </c>
      <c r="Q261" s="138">
        <v>0</v>
      </c>
      <c r="R261" s="138">
        <v>0</v>
      </c>
      <c r="S261" s="139">
        <v>0</v>
      </c>
      <c r="T261" s="322">
        <f t="shared" si="54"/>
        <v>0</v>
      </c>
      <c r="U261" s="140" t="str">
        <f t="shared" si="55"/>
        <v/>
      </c>
      <c r="V261" s="322">
        <f t="shared" si="51"/>
        <v>0</v>
      </c>
      <c r="W261" s="140" t="str">
        <f t="shared" si="56"/>
        <v/>
      </c>
      <c r="X261" s="322">
        <f t="shared" si="57"/>
        <v>0</v>
      </c>
      <c r="Y261" s="140" t="str">
        <f t="shared" si="58"/>
        <v/>
      </c>
      <c r="Z261" s="519">
        <v>0</v>
      </c>
      <c r="AA261" s="111">
        <f t="shared" si="52"/>
        <v>0</v>
      </c>
      <c r="AB261" s="111">
        <f t="shared" si="53"/>
        <v>0</v>
      </c>
    </row>
    <row r="262" spans="1:28" ht="52.5">
      <c r="A262" s="116" t="s">
        <v>2289</v>
      </c>
      <c r="B262" s="126" t="s">
        <v>3190</v>
      </c>
      <c r="C262" s="98" t="s">
        <v>2286</v>
      </c>
      <c r="D262" s="98" t="s">
        <v>3099</v>
      </c>
      <c r="E262" s="540" t="s">
        <v>2290</v>
      </c>
      <c r="F262" s="540" t="s">
        <v>3067</v>
      </c>
      <c r="G262" s="511" t="s">
        <v>617</v>
      </c>
      <c r="H262" s="511" t="s">
        <v>3068</v>
      </c>
      <c r="I262" s="544" t="s">
        <v>3069</v>
      </c>
      <c r="J262" s="542" t="s">
        <v>1395</v>
      </c>
      <c r="K262" s="543" t="s">
        <v>3592</v>
      </c>
      <c r="L262" s="95"/>
      <c r="M262" s="104"/>
      <c r="N262" s="137">
        <v>75769.759999999995</v>
      </c>
      <c r="O262" s="138">
        <v>78500</v>
      </c>
      <c r="P262" s="138">
        <v>83000</v>
      </c>
      <c r="Q262" s="138">
        <v>85000</v>
      </c>
      <c r="R262" s="138">
        <v>88000</v>
      </c>
      <c r="S262" s="139">
        <v>91000</v>
      </c>
      <c r="T262" s="322">
        <f t="shared" si="54"/>
        <v>9230.2400000000052</v>
      </c>
      <c r="U262" s="140">
        <f t="shared" si="55"/>
        <v>0.12181957551403101</v>
      </c>
      <c r="V262" s="322">
        <f t="shared" si="51"/>
        <v>6500</v>
      </c>
      <c r="W262" s="140">
        <f t="shared" si="56"/>
        <v>8.2802547770700632E-2</v>
      </c>
      <c r="X262" s="322">
        <f t="shared" si="57"/>
        <v>2000</v>
      </c>
      <c r="Y262" s="140">
        <f t="shared" si="58"/>
        <v>2.4096385542168676E-2</v>
      </c>
      <c r="Z262" s="519">
        <v>62243.020000000004</v>
      </c>
      <c r="AA262" s="111">
        <f t="shared" si="52"/>
        <v>82990.693333333344</v>
      </c>
      <c r="AB262" s="111">
        <f t="shared" si="53"/>
        <v>9.3066666666563833</v>
      </c>
    </row>
    <row r="263" spans="1:28" ht="36.75" customHeight="1">
      <c r="A263" s="116" t="s">
        <v>3070</v>
      </c>
      <c r="B263" s="126" t="s">
        <v>3190</v>
      </c>
      <c r="C263" s="98" t="s">
        <v>2286</v>
      </c>
      <c r="D263" s="98" t="s">
        <v>3183</v>
      </c>
      <c r="E263" s="540" t="s">
        <v>4596</v>
      </c>
      <c r="F263" s="540" t="s">
        <v>4597</v>
      </c>
      <c r="G263" s="555" t="s">
        <v>619</v>
      </c>
      <c r="H263" s="555" t="s">
        <v>3071</v>
      </c>
      <c r="I263" s="556" t="s">
        <v>3437</v>
      </c>
      <c r="J263" s="557" t="s">
        <v>1395</v>
      </c>
      <c r="K263" s="558" t="s">
        <v>3592</v>
      </c>
      <c r="L263" s="95"/>
      <c r="M263" s="104"/>
      <c r="N263" s="361">
        <v>1314000</v>
      </c>
      <c r="O263" s="318">
        <v>1314000</v>
      </c>
      <c r="P263" s="318">
        <v>1552000</v>
      </c>
      <c r="Q263" s="318">
        <v>1278000</v>
      </c>
      <c r="R263" s="318">
        <v>1278000</v>
      </c>
      <c r="S263" s="319">
        <v>1278000</v>
      </c>
      <c r="T263" s="322">
        <f t="shared" si="54"/>
        <v>-36000</v>
      </c>
      <c r="U263" s="140">
        <f t="shared" si="55"/>
        <v>-2.7397260273972601E-2</v>
      </c>
      <c r="V263" s="322">
        <f t="shared" si="51"/>
        <v>-36000</v>
      </c>
      <c r="W263" s="140">
        <f t="shared" si="56"/>
        <v>-2.7397260273972601E-2</v>
      </c>
      <c r="X263" s="322">
        <f t="shared" si="57"/>
        <v>-274000</v>
      </c>
      <c r="Y263" s="140">
        <f t="shared" si="58"/>
        <v>-0.17654639175257733</v>
      </c>
      <c r="Z263" s="519">
        <v>986000</v>
      </c>
      <c r="AA263" s="111">
        <f t="shared" si="52"/>
        <v>1314666.6666666667</v>
      </c>
      <c r="AB263" s="111">
        <f t="shared" si="53"/>
        <v>237333.33333333326</v>
      </c>
    </row>
    <row r="264" spans="1:28" ht="36.75" customHeight="1">
      <c r="A264" s="116" t="s">
        <v>3072</v>
      </c>
      <c r="B264" s="126" t="s">
        <v>3190</v>
      </c>
      <c r="C264" s="98" t="s">
        <v>2286</v>
      </c>
      <c r="D264" s="98" t="s">
        <v>2138</v>
      </c>
      <c r="E264" s="540" t="s">
        <v>3073</v>
      </c>
      <c r="F264" s="540" t="s">
        <v>3074</v>
      </c>
      <c r="G264" s="511" t="s">
        <v>621</v>
      </c>
      <c r="H264" s="511" t="s">
        <v>3075</v>
      </c>
      <c r="I264" s="544" t="s">
        <v>3076</v>
      </c>
      <c r="J264" s="542" t="s">
        <v>1395</v>
      </c>
      <c r="K264" s="543" t="s">
        <v>3592</v>
      </c>
      <c r="L264" s="95"/>
      <c r="M264" s="104"/>
      <c r="N264" s="137">
        <v>1246049.97</v>
      </c>
      <c r="O264" s="138">
        <v>1325000</v>
      </c>
      <c r="P264" s="138">
        <v>1412000</v>
      </c>
      <c r="Q264" s="138">
        <v>1454000</v>
      </c>
      <c r="R264" s="138">
        <v>1498000</v>
      </c>
      <c r="S264" s="139">
        <v>1543000</v>
      </c>
      <c r="T264" s="322">
        <f t="shared" si="54"/>
        <v>207950.03000000003</v>
      </c>
      <c r="U264" s="140">
        <f t="shared" si="55"/>
        <v>0.16688739216453738</v>
      </c>
      <c r="V264" s="322">
        <f t="shared" si="51"/>
        <v>129000</v>
      </c>
      <c r="W264" s="140">
        <f t="shared" si="56"/>
        <v>9.7358490566037736E-2</v>
      </c>
      <c r="X264" s="322">
        <f t="shared" si="57"/>
        <v>42000</v>
      </c>
      <c r="Y264" s="140">
        <f t="shared" si="58"/>
        <v>2.9745042492917848E-2</v>
      </c>
      <c r="Z264" s="519">
        <v>1074433.31</v>
      </c>
      <c r="AA264" s="111">
        <f t="shared" si="52"/>
        <v>1432577.7466666668</v>
      </c>
      <c r="AB264" s="522">
        <f t="shared" si="53"/>
        <v>-20577.746666666819</v>
      </c>
    </row>
    <row r="265" spans="1:28" ht="36.75" customHeight="1">
      <c r="A265" s="117" t="s">
        <v>4629</v>
      </c>
      <c r="B265" s="127" t="s">
        <v>3190</v>
      </c>
      <c r="C265" s="99" t="s">
        <v>4630</v>
      </c>
      <c r="D265" s="99" t="s">
        <v>3185</v>
      </c>
      <c r="E265" s="534" t="s">
        <v>5607</v>
      </c>
      <c r="F265" s="534" t="s">
        <v>4631</v>
      </c>
      <c r="G265" s="511"/>
      <c r="H265" s="511"/>
      <c r="I265" s="569"/>
      <c r="J265" s="542"/>
      <c r="K265" s="543"/>
      <c r="L265" s="570"/>
      <c r="M265" s="104"/>
      <c r="N265" s="137">
        <v>0</v>
      </c>
      <c r="O265" s="138">
        <v>0</v>
      </c>
      <c r="P265" s="138">
        <v>0</v>
      </c>
      <c r="Q265" s="138">
        <v>0</v>
      </c>
      <c r="R265" s="138">
        <v>0</v>
      </c>
      <c r="S265" s="139">
        <v>0</v>
      </c>
      <c r="T265" s="322">
        <f t="shared" si="54"/>
        <v>0</v>
      </c>
      <c r="U265" s="140" t="str">
        <f t="shared" si="55"/>
        <v/>
      </c>
      <c r="V265" s="322">
        <f t="shared" ref="V265:V328" si="64">IF(O265="","",Q265-O265)</f>
        <v>0</v>
      </c>
      <c r="W265" s="140" t="str">
        <f t="shared" si="56"/>
        <v/>
      </c>
      <c r="X265" s="322">
        <f t="shared" si="57"/>
        <v>0</v>
      </c>
      <c r="Y265" s="140" t="str">
        <f t="shared" si="58"/>
        <v/>
      </c>
      <c r="Z265" s="519">
        <v>0</v>
      </c>
      <c r="AA265" s="111">
        <f t="shared" ref="AA265:AA328" si="65">Z265/3*4</f>
        <v>0</v>
      </c>
      <c r="AB265" s="111">
        <f t="shared" ref="AB265:AB328" si="66">P265-AA265</f>
        <v>0</v>
      </c>
    </row>
    <row r="266" spans="1:28" ht="52.5">
      <c r="A266" s="116" t="s">
        <v>4632</v>
      </c>
      <c r="B266" s="126" t="s">
        <v>3190</v>
      </c>
      <c r="C266" s="98" t="s">
        <v>4630</v>
      </c>
      <c r="D266" s="98" t="s">
        <v>3099</v>
      </c>
      <c r="E266" s="540" t="s">
        <v>5435</v>
      </c>
      <c r="F266" s="540" t="s">
        <v>5296</v>
      </c>
      <c r="G266" s="511" t="s">
        <v>54</v>
      </c>
      <c r="H266" s="571" t="s">
        <v>2815</v>
      </c>
      <c r="I266" s="572" t="s">
        <v>2792</v>
      </c>
      <c r="J266" s="573" t="s">
        <v>2074</v>
      </c>
      <c r="K266" s="574" t="s">
        <v>3584</v>
      </c>
      <c r="L266" s="570"/>
      <c r="M266" s="104"/>
      <c r="N266" s="137">
        <v>0</v>
      </c>
      <c r="O266" s="138">
        <v>50000</v>
      </c>
      <c r="P266" s="138">
        <v>5000</v>
      </c>
      <c r="Q266" s="138">
        <v>10000</v>
      </c>
      <c r="R266" s="138">
        <v>15000</v>
      </c>
      <c r="S266" s="139">
        <v>20000</v>
      </c>
      <c r="T266" s="322">
        <f t="shared" si="54"/>
        <v>10000</v>
      </c>
      <c r="U266" s="140" t="str">
        <f t="shared" si="55"/>
        <v/>
      </c>
      <c r="V266" s="322">
        <f t="shared" si="64"/>
        <v>-40000</v>
      </c>
      <c r="W266" s="140">
        <f t="shared" si="56"/>
        <v>-0.8</v>
      </c>
      <c r="X266" s="322">
        <f t="shared" si="57"/>
        <v>5000</v>
      </c>
      <c r="Y266" s="140">
        <f t="shared" si="58"/>
        <v>1</v>
      </c>
      <c r="Z266" s="519">
        <v>1263.31</v>
      </c>
      <c r="AA266" s="111">
        <f t="shared" si="65"/>
        <v>1684.4133333333332</v>
      </c>
      <c r="AB266" s="111">
        <f t="shared" si="66"/>
        <v>3315.586666666667</v>
      </c>
    </row>
    <row r="267" spans="1:28" ht="42">
      <c r="A267" s="116" t="s">
        <v>4633</v>
      </c>
      <c r="B267" s="126" t="s">
        <v>3190</v>
      </c>
      <c r="C267" s="98" t="s">
        <v>4630</v>
      </c>
      <c r="D267" s="98" t="s">
        <v>2138</v>
      </c>
      <c r="E267" s="540" t="s">
        <v>5297</v>
      </c>
      <c r="F267" s="540" t="s">
        <v>5298</v>
      </c>
      <c r="G267" s="511" t="s">
        <v>54</v>
      </c>
      <c r="H267" s="571" t="s">
        <v>2818</v>
      </c>
      <c r="I267" s="572" t="s">
        <v>1251</v>
      </c>
      <c r="J267" s="573" t="s">
        <v>2074</v>
      </c>
      <c r="K267" s="574" t="s">
        <v>4634</v>
      </c>
      <c r="L267" s="570"/>
      <c r="M267" s="104"/>
      <c r="N267" s="137">
        <v>158.6</v>
      </c>
      <c r="O267" s="138">
        <v>500000</v>
      </c>
      <c r="P267" s="138">
        <v>50000</v>
      </c>
      <c r="Q267" s="138">
        <v>100000</v>
      </c>
      <c r="R267" s="138">
        <v>150000</v>
      </c>
      <c r="S267" s="139">
        <v>200000</v>
      </c>
      <c r="T267" s="322">
        <f t="shared" si="54"/>
        <v>99841.4</v>
      </c>
      <c r="U267" s="140">
        <f t="shared" si="55"/>
        <v>629.51702395964685</v>
      </c>
      <c r="V267" s="322">
        <f t="shared" si="64"/>
        <v>-400000</v>
      </c>
      <c r="W267" s="140">
        <f t="shared" si="56"/>
        <v>-0.8</v>
      </c>
      <c r="X267" s="322">
        <f t="shared" si="57"/>
        <v>50000</v>
      </c>
      <c r="Y267" s="140">
        <f t="shared" si="58"/>
        <v>1</v>
      </c>
      <c r="Z267" s="519">
        <v>38003.950000000004</v>
      </c>
      <c r="AA267" s="111">
        <f t="shared" si="65"/>
        <v>50671.933333333342</v>
      </c>
      <c r="AB267" s="111">
        <f t="shared" si="66"/>
        <v>-671.93333333334158</v>
      </c>
    </row>
    <row r="268" spans="1:28" ht="42">
      <c r="A268" s="113" t="s">
        <v>2127</v>
      </c>
      <c r="B268" s="135" t="s">
        <v>2128</v>
      </c>
      <c r="C268" s="136" t="s">
        <v>3184</v>
      </c>
      <c r="D268" s="136" t="s">
        <v>3185</v>
      </c>
      <c r="E268" s="529" t="s">
        <v>5299</v>
      </c>
      <c r="F268" s="529" t="s">
        <v>5608</v>
      </c>
      <c r="G268" s="530"/>
      <c r="H268" s="530"/>
      <c r="I268" s="575"/>
      <c r="J268" s="532"/>
      <c r="K268" s="533"/>
      <c r="L268" s="95"/>
      <c r="M268" s="147"/>
      <c r="N268" s="137">
        <v>0</v>
      </c>
      <c r="O268" s="138">
        <v>0</v>
      </c>
      <c r="P268" s="138">
        <v>0</v>
      </c>
      <c r="Q268" s="138">
        <v>0</v>
      </c>
      <c r="R268" s="138">
        <v>0</v>
      </c>
      <c r="S268" s="139">
        <v>0</v>
      </c>
      <c r="T268" s="322">
        <f t="shared" si="54"/>
        <v>0</v>
      </c>
      <c r="U268" s="140" t="str">
        <f t="shared" si="55"/>
        <v/>
      </c>
      <c r="V268" s="322">
        <f t="shared" si="64"/>
        <v>0</v>
      </c>
      <c r="W268" s="140" t="str">
        <f t="shared" si="56"/>
        <v/>
      </c>
      <c r="X268" s="322">
        <f t="shared" si="57"/>
        <v>0</v>
      </c>
      <c r="Y268" s="140" t="str">
        <f t="shared" si="58"/>
        <v/>
      </c>
      <c r="Z268" s="519">
        <v>0</v>
      </c>
      <c r="AA268" s="111">
        <f t="shared" si="65"/>
        <v>0</v>
      </c>
      <c r="AB268" s="111">
        <f t="shared" si="66"/>
        <v>0</v>
      </c>
    </row>
    <row r="269" spans="1:28" ht="18.75" customHeight="1">
      <c r="A269" s="115" t="s">
        <v>2129</v>
      </c>
      <c r="B269" s="124" t="s">
        <v>2128</v>
      </c>
      <c r="C269" s="101" t="s">
        <v>3186</v>
      </c>
      <c r="D269" s="101" t="s">
        <v>3185</v>
      </c>
      <c r="E269" s="534" t="s">
        <v>2131</v>
      </c>
      <c r="F269" s="534" t="s">
        <v>2130</v>
      </c>
      <c r="G269" s="555"/>
      <c r="H269" s="555"/>
      <c r="I269" s="556"/>
      <c r="J269" s="557"/>
      <c r="K269" s="558"/>
      <c r="L269" s="95"/>
      <c r="M269" s="104"/>
      <c r="N269" s="137">
        <v>0</v>
      </c>
      <c r="O269" s="138">
        <v>0</v>
      </c>
      <c r="P269" s="138">
        <v>0</v>
      </c>
      <c r="Q269" s="138">
        <v>0</v>
      </c>
      <c r="R269" s="138">
        <v>0</v>
      </c>
      <c r="S269" s="139">
        <v>0</v>
      </c>
      <c r="T269" s="322">
        <f t="shared" si="54"/>
        <v>0</v>
      </c>
      <c r="U269" s="140" t="str">
        <f t="shared" si="55"/>
        <v/>
      </c>
      <c r="V269" s="322">
        <f t="shared" si="64"/>
        <v>0</v>
      </c>
      <c r="W269" s="140" t="str">
        <f t="shared" si="56"/>
        <v/>
      </c>
      <c r="X269" s="322">
        <f t="shared" si="57"/>
        <v>0</v>
      </c>
      <c r="Y269" s="140" t="str">
        <f t="shared" si="58"/>
        <v/>
      </c>
      <c r="Z269" s="519">
        <v>0</v>
      </c>
      <c r="AA269" s="111">
        <f t="shared" si="65"/>
        <v>0</v>
      </c>
      <c r="AB269" s="111">
        <f t="shared" si="66"/>
        <v>0</v>
      </c>
    </row>
    <row r="270" spans="1:28" ht="36.75" customHeight="1">
      <c r="A270" s="114" t="s">
        <v>1364</v>
      </c>
      <c r="B270" s="125" t="s">
        <v>2128</v>
      </c>
      <c r="C270" s="97" t="s">
        <v>3186</v>
      </c>
      <c r="D270" s="97" t="s">
        <v>3193</v>
      </c>
      <c r="E270" s="540" t="s">
        <v>5436</v>
      </c>
      <c r="F270" s="540" t="s">
        <v>1365</v>
      </c>
      <c r="G270" s="511" t="s">
        <v>182</v>
      </c>
      <c r="H270" s="511" t="s">
        <v>3433</v>
      </c>
      <c r="I270" s="556" t="s">
        <v>3434</v>
      </c>
      <c r="J270" s="557" t="s">
        <v>2869</v>
      </c>
      <c r="K270" s="558" t="s">
        <v>2871</v>
      </c>
      <c r="L270" s="95"/>
      <c r="M270" s="104"/>
      <c r="N270" s="137">
        <v>419174</v>
      </c>
      <c r="O270" s="138">
        <v>235000</v>
      </c>
      <c r="P270" s="138">
        <v>235000</v>
      </c>
      <c r="Q270" s="138">
        <v>240000</v>
      </c>
      <c r="R270" s="138">
        <v>245000</v>
      </c>
      <c r="S270" s="139">
        <v>250000</v>
      </c>
      <c r="T270" s="322">
        <f t="shared" si="54"/>
        <v>-179174</v>
      </c>
      <c r="U270" s="140">
        <f t="shared" si="55"/>
        <v>-0.42744540453367813</v>
      </c>
      <c r="V270" s="322">
        <f t="shared" si="64"/>
        <v>5000</v>
      </c>
      <c r="W270" s="140">
        <f t="shared" si="56"/>
        <v>2.1276595744680851E-2</v>
      </c>
      <c r="X270" s="322">
        <f t="shared" si="57"/>
        <v>5000</v>
      </c>
      <c r="Y270" s="140">
        <f t="shared" si="58"/>
        <v>2.1276595744680851E-2</v>
      </c>
      <c r="Z270" s="519">
        <v>228958</v>
      </c>
      <c r="AA270" s="111">
        <f t="shared" si="65"/>
        <v>305277.33333333331</v>
      </c>
      <c r="AB270" s="522">
        <f t="shared" si="66"/>
        <v>-70277.333333333314</v>
      </c>
    </row>
    <row r="271" spans="1:28" ht="36.75" customHeight="1">
      <c r="A271" s="114" t="s">
        <v>1366</v>
      </c>
      <c r="B271" s="125" t="s">
        <v>2128</v>
      </c>
      <c r="C271" s="97" t="s">
        <v>3186</v>
      </c>
      <c r="D271" s="97" t="s">
        <v>1397</v>
      </c>
      <c r="E271" s="540" t="s">
        <v>5300</v>
      </c>
      <c r="F271" s="540" t="s">
        <v>4598</v>
      </c>
      <c r="G271" s="555" t="s">
        <v>72</v>
      </c>
      <c r="H271" s="555" t="s">
        <v>3077</v>
      </c>
      <c r="I271" s="556" t="s">
        <v>3437</v>
      </c>
      <c r="J271" s="557" t="s">
        <v>1921</v>
      </c>
      <c r="K271" s="558" t="s">
        <v>3588</v>
      </c>
      <c r="L271" s="95"/>
      <c r="M271" s="104"/>
      <c r="N271" s="361">
        <v>19506000</v>
      </c>
      <c r="O271" s="318">
        <v>19506000</v>
      </c>
      <c r="P271" s="318">
        <v>21982000</v>
      </c>
      <c r="Q271" s="318">
        <v>20478000</v>
      </c>
      <c r="R271" s="318">
        <v>20478000</v>
      </c>
      <c r="S271" s="319">
        <v>20478000</v>
      </c>
      <c r="T271" s="322">
        <f t="shared" si="54"/>
        <v>972000</v>
      </c>
      <c r="U271" s="140">
        <f t="shared" si="55"/>
        <v>4.9830821285758227E-2</v>
      </c>
      <c r="V271" s="322">
        <f t="shared" si="64"/>
        <v>972000</v>
      </c>
      <c r="W271" s="140">
        <f t="shared" si="56"/>
        <v>4.9830821285758227E-2</v>
      </c>
      <c r="X271" s="322">
        <f t="shared" si="57"/>
        <v>-1504000</v>
      </c>
      <c r="Y271" s="140">
        <f t="shared" si="58"/>
        <v>-6.8419616049495036E-2</v>
      </c>
      <c r="Z271" s="519">
        <v>14630000</v>
      </c>
      <c r="AA271" s="111">
        <f t="shared" si="65"/>
        <v>19506666.666666668</v>
      </c>
      <c r="AB271" s="111">
        <f t="shared" si="66"/>
        <v>2475333.3333333321</v>
      </c>
    </row>
    <row r="272" spans="1:28" ht="26.25" customHeight="1">
      <c r="A272" s="114" t="s">
        <v>1367</v>
      </c>
      <c r="B272" s="125" t="s">
        <v>2128</v>
      </c>
      <c r="C272" s="97" t="s">
        <v>3186</v>
      </c>
      <c r="D272" s="97" t="s">
        <v>2631</v>
      </c>
      <c r="E272" s="540" t="s">
        <v>3078</v>
      </c>
      <c r="F272" s="539" t="s">
        <v>5301</v>
      </c>
      <c r="G272" s="555" t="s">
        <v>70</v>
      </c>
      <c r="H272" s="555" t="s">
        <v>3079</v>
      </c>
      <c r="I272" s="556" t="s">
        <v>2792</v>
      </c>
      <c r="J272" s="557" t="s">
        <v>1921</v>
      </c>
      <c r="K272" s="558" t="s">
        <v>3588</v>
      </c>
      <c r="L272" s="95"/>
      <c r="M272" s="104"/>
      <c r="N272" s="137">
        <v>405334</v>
      </c>
      <c r="O272" s="138">
        <v>371000</v>
      </c>
      <c r="P272" s="138">
        <v>410000</v>
      </c>
      <c r="Q272" s="138">
        <v>415000</v>
      </c>
      <c r="R272" s="138">
        <v>420000</v>
      </c>
      <c r="S272" s="139">
        <v>425000</v>
      </c>
      <c r="T272" s="322">
        <f t="shared" si="54"/>
        <v>9666</v>
      </c>
      <c r="U272" s="140">
        <f t="shared" si="55"/>
        <v>2.3847000251644324E-2</v>
      </c>
      <c r="V272" s="322">
        <f t="shared" si="64"/>
        <v>44000</v>
      </c>
      <c r="W272" s="140">
        <f t="shared" si="56"/>
        <v>0.11859838274932614</v>
      </c>
      <c r="X272" s="322">
        <f t="shared" si="57"/>
        <v>5000</v>
      </c>
      <c r="Y272" s="140">
        <f t="shared" si="58"/>
        <v>1.2195121951219513E-2</v>
      </c>
      <c r="Z272" s="519">
        <v>304778</v>
      </c>
      <c r="AA272" s="111">
        <f t="shared" si="65"/>
        <v>406370.66666666669</v>
      </c>
      <c r="AB272" s="111">
        <f t="shared" si="66"/>
        <v>3629.3333333333139</v>
      </c>
    </row>
    <row r="273" spans="1:28" ht="36.75" customHeight="1">
      <c r="A273" s="114" t="s">
        <v>1368</v>
      </c>
      <c r="B273" s="125" t="s">
        <v>2128</v>
      </c>
      <c r="C273" s="97" t="s">
        <v>3186</v>
      </c>
      <c r="D273" s="97" t="s">
        <v>1404</v>
      </c>
      <c r="E273" s="540" t="s">
        <v>1370</v>
      </c>
      <c r="F273" s="540" t="s">
        <v>1369</v>
      </c>
      <c r="G273" s="512" t="s">
        <v>4805</v>
      </c>
      <c r="H273" s="512" t="s">
        <v>4989</v>
      </c>
      <c r="I273" s="541" t="s">
        <v>4990</v>
      </c>
      <c r="J273" s="557" t="s">
        <v>2869</v>
      </c>
      <c r="K273" s="558" t="s">
        <v>2871</v>
      </c>
      <c r="L273" s="95"/>
      <c r="M273" s="104"/>
      <c r="N273" s="137">
        <v>16323675.719999999</v>
      </c>
      <c r="O273" s="138">
        <v>16500000</v>
      </c>
      <c r="P273" s="138">
        <v>15550000</v>
      </c>
      <c r="Q273" s="138">
        <v>15600000</v>
      </c>
      <c r="R273" s="138">
        <v>15600000</v>
      </c>
      <c r="S273" s="139">
        <v>15600000</v>
      </c>
      <c r="T273" s="322">
        <f t="shared" si="54"/>
        <v>-723675.71999999881</v>
      </c>
      <c r="U273" s="140">
        <f t="shared" si="55"/>
        <v>-4.4332889994460077E-2</v>
      </c>
      <c r="V273" s="322">
        <f t="shared" si="64"/>
        <v>-900000</v>
      </c>
      <c r="W273" s="140">
        <f t="shared" si="56"/>
        <v>-5.4545454545454543E-2</v>
      </c>
      <c r="X273" s="322">
        <f t="shared" si="57"/>
        <v>50000</v>
      </c>
      <c r="Y273" s="140">
        <f t="shared" si="58"/>
        <v>3.2154340836012861E-3</v>
      </c>
      <c r="Z273" s="519">
        <v>11662280.300000001</v>
      </c>
      <c r="AA273" s="111">
        <f t="shared" si="65"/>
        <v>15549707.066666668</v>
      </c>
      <c r="AB273" s="111">
        <f t="shared" si="66"/>
        <v>292.93333333171904</v>
      </c>
    </row>
    <row r="274" spans="1:28" ht="36.75" customHeight="1">
      <c r="A274" s="114" t="s">
        <v>1371</v>
      </c>
      <c r="B274" s="125" t="s">
        <v>2128</v>
      </c>
      <c r="C274" s="97" t="s">
        <v>3186</v>
      </c>
      <c r="D274" s="97" t="s">
        <v>1372</v>
      </c>
      <c r="E274" s="540" t="s">
        <v>5437</v>
      </c>
      <c r="F274" s="540" t="s">
        <v>4599</v>
      </c>
      <c r="G274" s="555" t="s">
        <v>186</v>
      </c>
      <c r="H274" s="555" t="s">
        <v>3080</v>
      </c>
      <c r="I274" s="556" t="s">
        <v>3081</v>
      </c>
      <c r="J274" s="557" t="s">
        <v>2869</v>
      </c>
      <c r="K274" s="558" t="s">
        <v>2871</v>
      </c>
      <c r="L274" s="95"/>
      <c r="M274" s="104"/>
      <c r="N274" s="361">
        <v>4580000</v>
      </c>
      <c r="O274" s="318">
        <v>3778000</v>
      </c>
      <c r="P274" s="318">
        <v>3778000</v>
      </c>
      <c r="Q274" s="318">
        <v>7398000</v>
      </c>
      <c r="R274" s="318">
        <v>7398000</v>
      </c>
      <c r="S274" s="319">
        <v>7398000</v>
      </c>
      <c r="T274" s="322">
        <f t="shared" si="54"/>
        <v>2818000</v>
      </c>
      <c r="U274" s="140">
        <f t="shared" si="55"/>
        <v>0.61528384279475978</v>
      </c>
      <c r="V274" s="322">
        <f t="shared" si="64"/>
        <v>3620000</v>
      </c>
      <c r="W274" s="140">
        <f t="shared" si="56"/>
        <v>0.95817893065113813</v>
      </c>
      <c r="X274" s="322">
        <f t="shared" si="57"/>
        <v>3620000</v>
      </c>
      <c r="Y274" s="140">
        <f t="shared" si="58"/>
        <v>0.95817893065113813</v>
      </c>
      <c r="Z274" s="519">
        <v>2834000</v>
      </c>
      <c r="AA274" s="111">
        <f t="shared" si="65"/>
        <v>3778666.6666666665</v>
      </c>
      <c r="AB274" s="111">
        <f t="shared" si="66"/>
        <v>-666.66666666651145</v>
      </c>
    </row>
    <row r="275" spans="1:28" ht="29.25" customHeight="1">
      <c r="A275" s="116" t="s">
        <v>4550</v>
      </c>
      <c r="B275" s="126" t="s">
        <v>2128</v>
      </c>
      <c r="C275" s="98" t="s">
        <v>3186</v>
      </c>
      <c r="D275" s="98" t="s">
        <v>4551</v>
      </c>
      <c r="E275" s="540" t="s">
        <v>4552</v>
      </c>
      <c r="F275" s="540" t="s">
        <v>4600</v>
      </c>
      <c r="G275" s="511" t="s">
        <v>595</v>
      </c>
      <c r="H275" s="511" t="s">
        <v>3082</v>
      </c>
      <c r="I275" s="544" t="s">
        <v>3083</v>
      </c>
      <c r="J275" s="542" t="s">
        <v>1921</v>
      </c>
      <c r="K275" s="543" t="s">
        <v>3588</v>
      </c>
      <c r="L275" s="95"/>
      <c r="M275" s="104"/>
      <c r="N275" s="137">
        <v>0</v>
      </c>
      <c r="O275" s="138">
        <v>0</v>
      </c>
      <c r="P275" s="138">
        <v>0</v>
      </c>
      <c r="Q275" s="138">
        <v>0</v>
      </c>
      <c r="R275" s="138">
        <v>0</v>
      </c>
      <c r="S275" s="139">
        <v>0</v>
      </c>
      <c r="T275" s="322">
        <f t="shared" si="54"/>
        <v>0</v>
      </c>
      <c r="U275" s="140" t="str">
        <f t="shared" si="55"/>
        <v/>
      </c>
      <c r="V275" s="322">
        <f t="shared" si="64"/>
        <v>0</v>
      </c>
      <c r="W275" s="140" t="str">
        <f t="shared" si="56"/>
        <v/>
      </c>
      <c r="X275" s="322">
        <f t="shared" si="57"/>
        <v>0</v>
      </c>
      <c r="Y275" s="140" t="str">
        <f t="shared" si="58"/>
        <v/>
      </c>
      <c r="Z275" s="519">
        <v>0</v>
      </c>
      <c r="AA275" s="111">
        <f t="shared" si="65"/>
        <v>0</v>
      </c>
      <c r="AB275" s="111">
        <f t="shared" si="66"/>
        <v>0</v>
      </c>
    </row>
    <row r="276" spans="1:28" ht="31.5">
      <c r="A276" s="114" t="s">
        <v>1373</v>
      </c>
      <c r="B276" s="125" t="s">
        <v>2128</v>
      </c>
      <c r="C276" s="97" t="s">
        <v>3186</v>
      </c>
      <c r="D276" s="97" t="s">
        <v>1405</v>
      </c>
      <c r="E276" s="540" t="s">
        <v>4553</v>
      </c>
      <c r="F276" s="540" t="s">
        <v>5438</v>
      </c>
      <c r="G276" s="555" t="s">
        <v>595</v>
      </c>
      <c r="H276" s="555" t="s">
        <v>3082</v>
      </c>
      <c r="I276" s="556" t="s">
        <v>3083</v>
      </c>
      <c r="J276" s="557" t="s">
        <v>1921</v>
      </c>
      <c r="K276" s="558" t="s">
        <v>3588</v>
      </c>
      <c r="L276" s="95"/>
      <c r="M276" s="104"/>
      <c r="N276" s="137">
        <v>25359907.59</v>
      </c>
      <c r="O276" s="138">
        <v>25627000</v>
      </c>
      <c r="P276" s="138">
        <v>25571000</v>
      </c>
      <c r="Q276" s="138">
        <f>25571000+2000000+1000000</f>
        <v>28571000</v>
      </c>
      <c r="R276" s="138">
        <f>25571000+2000000+1000000</f>
        <v>28571000</v>
      </c>
      <c r="S276" s="139">
        <f>25571000+2000000+1000000</f>
        <v>28571000</v>
      </c>
      <c r="T276" s="322">
        <f t="shared" si="54"/>
        <v>3211092.41</v>
      </c>
      <c r="U276" s="140">
        <f t="shared" si="55"/>
        <v>0.12662082456744472</v>
      </c>
      <c r="V276" s="322">
        <f t="shared" si="64"/>
        <v>2944000</v>
      </c>
      <c r="W276" s="140">
        <f t="shared" si="56"/>
        <v>0.11487883872478245</v>
      </c>
      <c r="X276" s="322">
        <f t="shared" si="57"/>
        <v>3000000</v>
      </c>
      <c r="Y276" s="140">
        <f t="shared" si="58"/>
        <v>0.11732040201791091</v>
      </c>
      <c r="Z276" s="519">
        <v>19178580.23</v>
      </c>
      <c r="AA276" s="111">
        <f t="shared" si="65"/>
        <v>25571440.306666669</v>
      </c>
      <c r="AB276" s="111">
        <f t="shared" si="66"/>
        <v>-440.30666666850448</v>
      </c>
    </row>
    <row r="277" spans="1:28" ht="29.25" customHeight="1">
      <c r="A277" s="114" t="s">
        <v>3084</v>
      </c>
      <c r="B277" s="125" t="s">
        <v>2128</v>
      </c>
      <c r="C277" s="97" t="s">
        <v>3186</v>
      </c>
      <c r="D277" s="97" t="s">
        <v>3085</v>
      </c>
      <c r="E277" s="540" t="s">
        <v>3086</v>
      </c>
      <c r="F277" s="540" t="s">
        <v>5439</v>
      </c>
      <c r="G277" s="555" t="s">
        <v>76</v>
      </c>
      <c r="H277" s="555" t="s">
        <v>3087</v>
      </c>
      <c r="I277" s="562" t="s">
        <v>3088</v>
      </c>
      <c r="J277" s="557" t="s">
        <v>1921</v>
      </c>
      <c r="K277" s="558" t="s">
        <v>3588</v>
      </c>
      <c r="L277" s="95"/>
      <c r="M277" s="104"/>
      <c r="N277" s="137">
        <v>0</v>
      </c>
      <c r="O277" s="138">
        <v>0</v>
      </c>
      <c r="P277" s="138">
        <v>0</v>
      </c>
      <c r="Q277" s="138">
        <v>0</v>
      </c>
      <c r="R277" s="138">
        <v>0</v>
      </c>
      <c r="S277" s="139">
        <v>0</v>
      </c>
      <c r="T277" s="322">
        <f t="shared" si="54"/>
        <v>0</v>
      </c>
      <c r="U277" s="140" t="str">
        <f t="shared" si="55"/>
        <v/>
      </c>
      <c r="V277" s="322">
        <f t="shared" si="64"/>
        <v>0</v>
      </c>
      <c r="W277" s="140" t="str">
        <f t="shared" si="56"/>
        <v/>
      </c>
      <c r="X277" s="322">
        <f t="shared" si="57"/>
        <v>0</v>
      </c>
      <c r="Y277" s="140" t="str">
        <f t="shared" si="58"/>
        <v/>
      </c>
      <c r="Z277" s="519">
        <v>0</v>
      </c>
      <c r="AA277" s="111">
        <f t="shared" si="65"/>
        <v>0</v>
      </c>
      <c r="AB277" s="111">
        <f t="shared" si="66"/>
        <v>0</v>
      </c>
    </row>
    <row r="278" spans="1:28" ht="29.25" customHeight="1">
      <c r="A278" s="116" t="s">
        <v>4554</v>
      </c>
      <c r="B278" s="126" t="s">
        <v>2128</v>
      </c>
      <c r="C278" s="98" t="s">
        <v>3186</v>
      </c>
      <c r="D278" s="98" t="s">
        <v>1391</v>
      </c>
      <c r="E278" s="540" t="s">
        <v>4555</v>
      </c>
      <c r="F278" s="540" t="s">
        <v>4556</v>
      </c>
      <c r="G278" s="511" t="s">
        <v>78</v>
      </c>
      <c r="H278" s="511" t="s">
        <v>4557</v>
      </c>
      <c r="I278" s="544" t="s">
        <v>4558</v>
      </c>
      <c r="J278" s="542" t="s">
        <v>1921</v>
      </c>
      <c r="K278" s="543" t="s">
        <v>3588</v>
      </c>
      <c r="L278" s="95"/>
      <c r="M278" s="104"/>
      <c r="N278" s="137">
        <v>0</v>
      </c>
      <c r="O278" s="138">
        <v>0</v>
      </c>
      <c r="P278" s="138">
        <v>0</v>
      </c>
      <c r="Q278" s="138">
        <v>0</v>
      </c>
      <c r="R278" s="138">
        <v>0</v>
      </c>
      <c r="S278" s="139">
        <v>0</v>
      </c>
      <c r="T278" s="322">
        <f t="shared" si="54"/>
        <v>0</v>
      </c>
      <c r="U278" s="140" t="str">
        <f t="shared" si="55"/>
        <v/>
      </c>
      <c r="V278" s="322">
        <f t="shared" si="64"/>
        <v>0</v>
      </c>
      <c r="W278" s="140" t="str">
        <f t="shared" si="56"/>
        <v/>
      </c>
      <c r="X278" s="322">
        <f t="shared" si="57"/>
        <v>0</v>
      </c>
      <c r="Y278" s="140" t="str">
        <f t="shared" si="58"/>
        <v/>
      </c>
      <c r="Z278" s="519">
        <v>0</v>
      </c>
      <c r="AA278" s="111">
        <f t="shared" si="65"/>
        <v>0</v>
      </c>
      <c r="AB278" s="111">
        <f t="shared" si="66"/>
        <v>0</v>
      </c>
    </row>
    <row r="279" spans="1:28" ht="33.75">
      <c r="A279" s="114" t="s">
        <v>3089</v>
      </c>
      <c r="B279" s="125" t="s">
        <v>2128</v>
      </c>
      <c r="C279" s="97" t="s">
        <v>3186</v>
      </c>
      <c r="D279" s="97" t="s">
        <v>1558</v>
      </c>
      <c r="E279" s="540" t="s">
        <v>4559</v>
      </c>
      <c r="F279" s="540" t="s">
        <v>4560</v>
      </c>
      <c r="G279" s="555" t="s">
        <v>599</v>
      </c>
      <c r="H279" s="555" t="s">
        <v>3090</v>
      </c>
      <c r="I279" s="556" t="s">
        <v>3091</v>
      </c>
      <c r="J279" s="557" t="s">
        <v>1921</v>
      </c>
      <c r="K279" s="558" t="s">
        <v>3588</v>
      </c>
      <c r="L279" s="95"/>
      <c r="M279" s="104"/>
      <c r="N279" s="137">
        <v>507993.17</v>
      </c>
      <c r="O279" s="138">
        <v>500000</v>
      </c>
      <c r="P279" s="138">
        <v>510000</v>
      </c>
      <c r="Q279" s="138">
        <v>510000</v>
      </c>
      <c r="R279" s="138">
        <v>510000</v>
      </c>
      <c r="S279" s="139">
        <v>510000</v>
      </c>
      <c r="T279" s="322">
        <f t="shared" si="54"/>
        <v>2006.8300000000163</v>
      </c>
      <c r="U279" s="140">
        <f t="shared" si="55"/>
        <v>3.9505058699903705E-3</v>
      </c>
      <c r="V279" s="322">
        <f t="shared" si="64"/>
        <v>10000</v>
      </c>
      <c r="W279" s="140">
        <f t="shared" si="56"/>
        <v>0.02</v>
      </c>
      <c r="X279" s="322">
        <f t="shared" si="57"/>
        <v>0</v>
      </c>
      <c r="Y279" s="140">
        <f t="shared" si="58"/>
        <v>0</v>
      </c>
      <c r="Z279" s="519">
        <v>382508.16</v>
      </c>
      <c r="AA279" s="111">
        <f t="shared" si="65"/>
        <v>510010.87999999995</v>
      </c>
      <c r="AB279" s="111">
        <f t="shared" si="66"/>
        <v>-10.879999999946449</v>
      </c>
    </row>
    <row r="280" spans="1:28" ht="29.25" customHeight="1">
      <c r="A280" s="115" t="s">
        <v>1374</v>
      </c>
      <c r="B280" s="124" t="s">
        <v>2128</v>
      </c>
      <c r="C280" s="101" t="s">
        <v>3187</v>
      </c>
      <c r="D280" s="101" t="s">
        <v>3185</v>
      </c>
      <c r="E280" s="534" t="s">
        <v>1375</v>
      </c>
      <c r="F280" s="534" t="s">
        <v>5302</v>
      </c>
      <c r="G280" s="555"/>
      <c r="H280" s="555"/>
      <c r="I280" s="556"/>
      <c r="J280" s="557"/>
      <c r="K280" s="558"/>
      <c r="L280" s="95"/>
      <c r="M280" s="104"/>
      <c r="N280" s="137">
        <v>0</v>
      </c>
      <c r="O280" s="138">
        <v>0</v>
      </c>
      <c r="P280" s="138">
        <v>0</v>
      </c>
      <c r="Q280" s="138">
        <v>0</v>
      </c>
      <c r="R280" s="138">
        <v>0</v>
      </c>
      <c r="S280" s="139">
        <v>0</v>
      </c>
      <c r="T280" s="322">
        <f t="shared" si="54"/>
        <v>0</v>
      </c>
      <c r="U280" s="140" t="str">
        <f t="shared" si="55"/>
        <v/>
      </c>
      <c r="V280" s="322">
        <f t="shared" si="64"/>
        <v>0</v>
      </c>
      <c r="W280" s="140" t="str">
        <f t="shared" si="56"/>
        <v/>
      </c>
      <c r="X280" s="322">
        <f t="shared" si="57"/>
        <v>0</v>
      </c>
      <c r="Y280" s="140" t="str">
        <f t="shared" si="58"/>
        <v/>
      </c>
      <c r="Z280" s="519">
        <v>0</v>
      </c>
      <c r="AA280" s="111">
        <f t="shared" si="65"/>
        <v>0</v>
      </c>
      <c r="AB280" s="111">
        <f t="shared" si="66"/>
        <v>0</v>
      </c>
    </row>
    <row r="281" spans="1:28" ht="52.5">
      <c r="A281" s="114" t="s">
        <v>686</v>
      </c>
      <c r="B281" s="125" t="s">
        <v>2128</v>
      </c>
      <c r="C281" s="97" t="s">
        <v>3187</v>
      </c>
      <c r="D281" s="97" t="s">
        <v>3193</v>
      </c>
      <c r="E281" s="540" t="s">
        <v>5440</v>
      </c>
      <c r="F281" s="540" t="s">
        <v>4561</v>
      </c>
      <c r="G281" s="511" t="s">
        <v>182</v>
      </c>
      <c r="H281" s="511" t="s">
        <v>3433</v>
      </c>
      <c r="I281" s="544" t="s">
        <v>3434</v>
      </c>
      <c r="J281" s="557" t="s">
        <v>2869</v>
      </c>
      <c r="K281" s="543" t="s">
        <v>2871</v>
      </c>
      <c r="L281" s="95"/>
      <c r="M281" s="104"/>
      <c r="N281" s="137">
        <v>76060.73</v>
      </c>
      <c r="O281" s="138">
        <v>70000</v>
      </c>
      <c r="P281" s="138">
        <v>40000</v>
      </c>
      <c r="Q281" s="138">
        <v>40000</v>
      </c>
      <c r="R281" s="138">
        <v>40000</v>
      </c>
      <c r="S281" s="139">
        <v>40000</v>
      </c>
      <c r="T281" s="322">
        <f t="shared" si="54"/>
        <v>-36060.729999999996</v>
      </c>
      <c r="U281" s="140">
        <f t="shared" si="55"/>
        <v>-0.47410444259475287</v>
      </c>
      <c r="V281" s="322">
        <f t="shared" si="64"/>
        <v>-30000</v>
      </c>
      <c r="W281" s="140">
        <f t="shared" si="56"/>
        <v>-0.42857142857142855</v>
      </c>
      <c r="X281" s="322">
        <f t="shared" si="57"/>
        <v>0</v>
      </c>
      <c r="Y281" s="140">
        <f t="shared" si="58"/>
        <v>0</v>
      </c>
      <c r="Z281" s="519">
        <v>26510.31</v>
      </c>
      <c r="AA281" s="111">
        <f t="shared" si="65"/>
        <v>35347.08</v>
      </c>
      <c r="AB281" s="111">
        <f t="shared" si="66"/>
        <v>4652.9199999999983</v>
      </c>
    </row>
    <row r="282" spans="1:28" ht="29.25" customHeight="1">
      <c r="A282" s="114" t="s">
        <v>687</v>
      </c>
      <c r="B282" s="125" t="s">
        <v>2128</v>
      </c>
      <c r="C282" s="97" t="s">
        <v>3187</v>
      </c>
      <c r="D282" s="97" t="s">
        <v>1397</v>
      </c>
      <c r="E282" s="540" t="s">
        <v>5441</v>
      </c>
      <c r="F282" s="539" t="s">
        <v>5303</v>
      </c>
      <c r="G282" s="511" t="s">
        <v>1348</v>
      </c>
      <c r="H282" s="512" t="s">
        <v>4952</v>
      </c>
      <c r="I282" s="544" t="s">
        <v>3437</v>
      </c>
      <c r="J282" s="542" t="s">
        <v>2604</v>
      </c>
      <c r="K282" s="558" t="s">
        <v>3581</v>
      </c>
      <c r="L282" s="95"/>
      <c r="M282" s="104"/>
      <c r="N282" s="361">
        <v>366000</v>
      </c>
      <c r="O282" s="318">
        <v>366000</v>
      </c>
      <c r="P282" s="318">
        <v>503000</v>
      </c>
      <c r="Q282" s="318">
        <v>354000</v>
      </c>
      <c r="R282" s="318">
        <v>354000</v>
      </c>
      <c r="S282" s="319">
        <v>354000</v>
      </c>
      <c r="T282" s="322">
        <f t="shared" si="54"/>
        <v>-12000</v>
      </c>
      <c r="U282" s="140">
        <f t="shared" si="55"/>
        <v>-3.2786885245901641E-2</v>
      </c>
      <c r="V282" s="322">
        <f t="shared" si="64"/>
        <v>-12000</v>
      </c>
      <c r="W282" s="140">
        <f t="shared" si="56"/>
        <v>-3.2786885245901641E-2</v>
      </c>
      <c r="X282" s="322">
        <f t="shared" si="57"/>
        <v>-149000</v>
      </c>
      <c r="Y282" s="140">
        <f t="shared" si="58"/>
        <v>-0.29622266401590458</v>
      </c>
      <c r="Z282" s="519">
        <v>275000</v>
      </c>
      <c r="AA282" s="111">
        <f t="shared" si="65"/>
        <v>366666.66666666669</v>
      </c>
      <c r="AB282" s="111">
        <f t="shared" si="66"/>
        <v>136333.33333333331</v>
      </c>
    </row>
    <row r="283" spans="1:28" ht="36" customHeight="1">
      <c r="A283" s="114" t="s">
        <v>688</v>
      </c>
      <c r="B283" s="125" t="s">
        <v>2128</v>
      </c>
      <c r="C283" s="97" t="s">
        <v>3187</v>
      </c>
      <c r="D283" s="97" t="s">
        <v>1398</v>
      </c>
      <c r="E283" s="540" t="s">
        <v>690</v>
      </c>
      <c r="F283" s="540" t="s">
        <v>689</v>
      </c>
      <c r="G283" s="511" t="s">
        <v>182</v>
      </c>
      <c r="H283" s="511" t="s">
        <v>3433</v>
      </c>
      <c r="I283" s="544" t="s">
        <v>3434</v>
      </c>
      <c r="J283" s="557" t="s">
        <v>2869</v>
      </c>
      <c r="K283" s="543" t="s">
        <v>2871</v>
      </c>
      <c r="L283" s="95"/>
      <c r="M283" s="104"/>
      <c r="N283" s="137">
        <v>934999.3</v>
      </c>
      <c r="O283" s="138">
        <v>757000</v>
      </c>
      <c r="P283" s="138">
        <v>693000</v>
      </c>
      <c r="Q283" s="138">
        <v>707000</v>
      </c>
      <c r="R283" s="138">
        <v>721000</v>
      </c>
      <c r="S283" s="139">
        <v>735000</v>
      </c>
      <c r="T283" s="322">
        <f t="shared" ref="T283:T347" si="67">IF(N283="","",Q283-N283)</f>
        <v>-227999.30000000005</v>
      </c>
      <c r="U283" s="140">
        <f t="shared" ref="U283:U347" si="68">IF(N283=0,"",T283/N283)</f>
        <v>-0.24384970127785127</v>
      </c>
      <c r="V283" s="322">
        <f t="shared" si="64"/>
        <v>-50000</v>
      </c>
      <c r="W283" s="140">
        <f t="shared" ref="W283:W347" si="69">IF(O283=0,"",V283/O283)</f>
        <v>-6.6050198150594458E-2</v>
      </c>
      <c r="X283" s="322">
        <f t="shared" ref="X283:X347" si="70">IF(P283="","",Q283-P283)</f>
        <v>14000</v>
      </c>
      <c r="Y283" s="140">
        <f t="shared" ref="Y283:Y347" si="71">IF(P283=0,"",X283/P283)</f>
        <v>2.0202020202020204E-2</v>
      </c>
      <c r="Z283" s="519">
        <v>572916.77999999991</v>
      </c>
      <c r="AA283" s="111">
        <f t="shared" si="65"/>
        <v>763889.03999999992</v>
      </c>
      <c r="AB283" s="522">
        <f t="shared" si="66"/>
        <v>-70889.039999999921</v>
      </c>
    </row>
    <row r="284" spans="1:28" ht="43.5" customHeight="1">
      <c r="A284" s="114" t="s">
        <v>691</v>
      </c>
      <c r="B284" s="125" t="s">
        <v>2128</v>
      </c>
      <c r="C284" s="97" t="s">
        <v>3187</v>
      </c>
      <c r="D284" s="97" t="s">
        <v>2631</v>
      </c>
      <c r="E284" s="540" t="s">
        <v>5442</v>
      </c>
      <c r="F284" s="539" t="s">
        <v>5304</v>
      </c>
      <c r="G284" s="511" t="s">
        <v>182</v>
      </c>
      <c r="H284" s="511" t="s">
        <v>3433</v>
      </c>
      <c r="I284" s="544" t="s">
        <v>3434</v>
      </c>
      <c r="J284" s="557" t="s">
        <v>2869</v>
      </c>
      <c r="K284" s="543" t="s">
        <v>2871</v>
      </c>
      <c r="L284" s="95"/>
      <c r="M284" s="104"/>
      <c r="N284" s="137">
        <v>28673.440000000002</v>
      </c>
      <c r="O284" s="138">
        <v>15000</v>
      </c>
      <c r="P284" s="138">
        <v>30000</v>
      </c>
      <c r="Q284" s="138">
        <v>30000</v>
      </c>
      <c r="R284" s="138">
        <v>30000</v>
      </c>
      <c r="S284" s="139">
        <v>30000</v>
      </c>
      <c r="T284" s="322">
        <f t="shared" si="67"/>
        <v>1326.5599999999977</v>
      </c>
      <c r="U284" s="140">
        <f t="shared" si="68"/>
        <v>4.6264417523673391E-2</v>
      </c>
      <c r="V284" s="322">
        <f t="shared" si="64"/>
        <v>15000</v>
      </c>
      <c r="W284" s="140">
        <f t="shared" si="69"/>
        <v>1</v>
      </c>
      <c r="X284" s="322">
        <f t="shared" si="70"/>
        <v>0</v>
      </c>
      <c r="Y284" s="140">
        <f t="shared" si="71"/>
        <v>0</v>
      </c>
      <c r="Z284" s="519">
        <v>16952.919999999998</v>
      </c>
      <c r="AA284" s="111">
        <f t="shared" si="65"/>
        <v>22603.89333333333</v>
      </c>
      <c r="AB284" s="111">
        <f t="shared" si="66"/>
        <v>7396.1066666666702</v>
      </c>
    </row>
    <row r="285" spans="1:28" ht="29.25" customHeight="1">
      <c r="A285" s="114" t="s">
        <v>1381</v>
      </c>
      <c r="B285" s="125" t="s">
        <v>2128</v>
      </c>
      <c r="C285" s="97" t="s">
        <v>3187</v>
      </c>
      <c r="D285" s="97" t="s">
        <v>2835</v>
      </c>
      <c r="E285" s="540" t="s">
        <v>5305</v>
      </c>
      <c r="F285" s="539" t="s">
        <v>5306</v>
      </c>
      <c r="G285" s="511" t="s">
        <v>182</v>
      </c>
      <c r="H285" s="511" t="s">
        <v>3433</v>
      </c>
      <c r="I285" s="544" t="s">
        <v>3434</v>
      </c>
      <c r="J285" s="557" t="s">
        <v>2869</v>
      </c>
      <c r="K285" s="543" t="s">
        <v>2871</v>
      </c>
      <c r="L285" s="95"/>
      <c r="M285" s="104"/>
      <c r="N285" s="137">
        <v>0</v>
      </c>
      <c r="O285" s="138">
        <v>0</v>
      </c>
      <c r="P285" s="138">
        <v>0</v>
      </c>
      <c r="Q285" s="138">
        <v>0</v>
      </c>
      <c r="R285" s="138">
        <v>0</v>
      </c>
      <c r="S285" s="139">
        <v>0</v>
      </c>
      <c r="T285" s="322">
        <f t="shared" si="67"/>
        <v>0</v>
      </c>
      <c r="U285" s="140" t="str">
        <f t="shared" si="68"/>
        <v/>
      </c>
      <c r="V285" s="322">
        <f t="shared" si="64"/>
        <v>0</v>
      </c>
      <c r="W285" s="140" t="str">
        <f t="shared" si="69"/>
        <v/>
      </c>
      <c r="X285" s="322">
        <f t="shared" si="70"/>
        <v>0</v>
      </c>
      <c r="Y285" s="140" t="str">
        <f t="shared" si="71"/>
        <v/>
      </c>
      <c r="Z285" s="519">
        <v>0</v>
      </c>
      <c r="AA285" s="111">
        <f t="shared" si="65"/>
        <v>0</v>
      </c>
      <c r="AB285" s="111">
        <f t="shared" si="66"/>
        <v>0</v>
      </c>
    </row>
    <row r="286" spans="1:28" ht="36" customHeight="1">
      <c r="A286" s="114" t="s">
        <v>1382</v>
      </c>
      <c r="B286" s="125" t="s">
        <v>2128</v>
      </c>
      <c r="C286" s="97" t="s">
        <v>3187</v>
      </c>
      <c r="D286" s="97" t="s">
        <v>1404</v>
      </c>
      <c r="E286" s="540" t="s">
        <v>1383</v>
      </c>
      <c r="F286" s="540" t="s">
        <v>5307</v>
      </c>
      <c r="G286" s="512" t="s">
        <v>4805</v>
      </c>
      <c r="H286" s="512" t="s">
        <v>4989</v>
      </c>
      <c r="I286" s="541" t="s">
        <v>4990</v>
      </c>
      <c r="J286" s="557" t="s">
        <v>2869</v>
      </c>
      <c r="K286" s="543" t="s">
        <v>2871</v>
      </c>
      <c r="L286" s="95"/>
      <c r="M286" s="104"/>
      <c r="N286" s="137">
        <v>2596029.6900000004</v>
      </c>
      <c r="O286" s="138">
        <v>2602000</v>
      </c>
      <c r="P286" s="138">
        <v>2602000</v>
      </c>
      <c r="Q286" s="138">
        <v>2602000</v>
      </c>
      <c r="R286" s="138">
        <v>2602000</v>
      </c>
      <c r="S286" s="139">
        <v>2602000</v>
      </c>
      <c r="T286" s="322">
        <f t="shared" si="67"/>
        <v>5970.3099999995902</v>
      </c>
      <c r="U286" s="140">
        <f t="shared" si="68"/>
        <v>2.2997849458338011E-3</v>
      </c>
      <c r="V286" s="322">
        <f t="shared" si="64"/>
        <v>0</v>
      </c>
      <c r="W286" s="140">
        <f t="shared" si="69"/>
        <v>0</v>
      </c>
      <c r="X286" s="322">
        <f t="shared" si="70"/>
        <v>0</v>
      </c>
      <c r="Y286" s="140">
        <f t="shared" si="71"/>
        <v>0</v>
      </c>
      <c r="Z286" s="519">
        <v>1951819.95</v>
      </c>
      <c r="AA286" s="111">
        <f t="shared" si="65"/>
        <v>2602426.6</v>
      </c>
      <c r="AB286" s="111">
        <f t="shared" si="66"/>
        <v>-426.60000000009313</v>
      </c>
    </row>
    <row r="287" spans="1:28" ht="36" customHeight="1">
      <c r="A287" s="114" t="s">
        <v>1384</v>
      </c>
      <c r="B287" s="125" t="s">
        <v>2128</v>
      </c>
      <c r="C287" s="97" t="s">
        <v>3187</v>
      </c>
      <c r="D287" s="97" t="s">
        <v>1372</v>
      </c>
      <c r="E287" s="540" t="s">
        <v>5443</v>
      </c>
      <c r="F287" s="540" t="s">
        <v>5308</v>
      </c>
      <c r="G287" s="555" t="s">
        <v>186</v>
      </c>
      <c r="H287" s="555" t="s">
        <v>3080</v>
      </c>
      <c r="I287" s="556" t="s">
        <v>3081</v>
      </c>
      <c r="J287" s="557" t="s">
        <v>2869</v>
      </c>
      <c r="K287" s="543" t="s">
        <v>2871</v>
      </c>
      <c r="L287" s="95"/>
      <c r="M287" s="104"/>
      <c r="N287" s="361">
        <v>573000</v>
      </c>
      <c r="O287" s="318">
        <v>678000</v>
      </c>
      <c r="P287" s="318">
        <v>678000</v>
      </c>
      <c r="Q287" s="318">
        <v>0</v>
      </c>
      <c r="R287" s="318">
        <v>0</v>
      </c>
      <c r="S287" s="319">
        <v>0</v>
      </c>
      <c r="T287" s="322">
        <f t="shared" si="67"/>
        <v>-573000</v>
      </c>
      <c r="U287" s="140">
        <f t="shared" si="68"/>
        <v>-1</v>
      </c>
      <c r="V287" s="322">
        <f t="shared" si="64"/>
        <v>-678000</v>
      </c>
      <c r="W287" s="140">
        <f t="shared" si="69"/>
        <v>-1</v>
      </c>
      <c r="X287" s="322">
        <f t="shared" si="70"/>
        <v>-678000</v>
      </c>
      <c r="Y287" s="140">
        <f t="shared" si="71"/>
        <v>-1</v>
      </c>
      <c r="Z287" s="519">
        <v>509000</v>
      </c>
      <c r="AA287" s="111">
        <f t="shared" si="65"/>
        <v>678666.66666666663</v>
      </c>
      <c r="AB287" s="111">
        <f t="shared" si="66"/>
        <v>-666.66666666662786</v>
      </c>
    </row>
    <row r="288" spans="1:28" ht="36" customHeight="1">
      <c r="A288" s="114" t="s">
        <v>1385</v>
      </c>
      <c r="B288" s="125" t="s">
        <v>2128</v>
      </c>
      <c r="C288" s="97" t="s">
        <v>3187</v>
      </c>
      <c r="D288" s="97" t="s">
        <v>1386</v>
      </c>
      <c r="E288" s="540" t="s">
        <v>1388</v>
      </c>
      <c r="F288" s="540" t="s">
        <v>1387</v>
      </c>
      <c r="G288" s="512" t="s">
        <v>4805</v>
      </c>
      <c r="H288" s="512" t="s">
        <v>4989</v>
      </c>
      <c r="I288" s="541" t="s">
        <v>4990</v>
      </c>
      <c r="J288" s="557" t="s">
        <v>2869</v>
      </c>
      <c r="K288" s="543" t="s">
        <v>2871</v>
      </c>
      <c r="L288" s="95"/>
      <c r="M288" s="104"/>
      <c r="N288" s="137">
        <v>60375.56</v>
      </c>
      <c r="O288" s="138">
        <v>60000</v>
      </c>
      <c r="P288" s="138">
        <v>30000</v>
      </c>
      <c r="Q288" s="138">
        <v>30000</v>
      </c>
      <c r="R288" s="138">
        <v>30000</v>
      </c>
      <c r="S288" s="139">
        <v>30000</v>
      </c>
      <c r="T288" s="322">
        <f t="shared" si="67"/>
        <v>-30375.559999999998</v>
      </c>
      <c r="U288" s="140">
        <f t="shared" si="68"/>
        <v>-0.5031101988950496</v>
      </c>
      <c r="V288" s="322">
        <f t="shared" si="64"/>
        <v>-30000</v>
      </c>
      <c r="W288" s="140">
        <f t="shared" si="69"/>
        <v>-0.5</v>
      </c>
      <c r="X288" s="322">
        <f t="shared" si="70"/>
        <v>0</v>
      </c>
      <c r="Y288" s="140">
        <f t="shared" si="71"/>
        <v>0</v>
      </c>
      <c r="Z288" s="519">
        <v>22700.07</v>
      </c>
      <c r="AA288" s="111">
        <f t="shared" si="65"/>
        <v>30266.76</v>
      </c>
      <c r="AB288" s="111">
        <f t="shared" si="66"/>
        <v>-266.7599999999984</v>
      </c>
    </row>
    <row r="289" spans="1:28" ht="21">
      <c r="A289" s="116" t="s">
        <v>1389</v>
      </c>
      <c r="B289" s="126" t="s">
        <v>2128</v>
      </c>
      <c r="C289" s="98" t="s">
        <v>3187</v>
      </c>
      <c r="D289" s="98" t="s">
        <v>1405</v>
      </c>
      <c r="E289" s="540" t="s">
        <v>4562</v>
      </c>
      <c r="F289" s="540" t="s">
        <v>5309</v>
      </c>
      <c r="G289" s="511" t="s">
        <v>184</v>
      </c>
      <c r="H289" s="511" t="s">
        <v>3725</v>
      </c>
      <c r="I289" s="544" t="s">
        <v>1991</v>
      </c>
      <c r="J289" s="542" t="s">
        <v>2869</v>
      </c>
      <c r="K289" s="543" t="s">
        <v>2871</v>
      </c>
      <c r="L289" s="95"/>
      <c r="M289" s="104"/>
      <c r="N289" s="137">
        <v>486456.57</v>
      </c>
      <c r="O289" s="138">
        <v>460000</v>
      </c>
      <c r="P289" s="138">
        <v>460000</v>
      </c>
      <c r="Q289" s="138">
        <v>460000</v>
      </c>
      <c r="R289" s="138">
        <v>460000</v>
      </c>
      <c r="S289" s="139">
        <v>460000</v>
      </c>
      <c r="T289" s="322">
        <f t="shared" si="67"/>
        <v>-26456.570000000007</v>
      </c>
      <c r="U289" s="140">
        <f t="shared" si="68"/>
        <v>-5.4386293929589657E-2</v>
      </c>
      <c r="V289" s="322">
        <f t="shared" si="64"/>
        <v>0</v>
      </c>
      <c r="W289" s="140">
        <f t="shared" si="69"/>
        <v>0</v>
      </c>
      <c r="X289" s="322">
        <f t="shared" si="70"/>
        <v>0</v>
      </c>
      <c r="Y289" s="140">
        <f t="shared" si="71"/>
        <v>0</v>
      </c>
      <c r="Z289" s="519">
        <v>344716.62</v>
      </c>
      <c r="AA289" s="111">
        <f t="shared" si="65"/>
        <v>459622.16</v>
      </c>
      <c r="AB289" s="111">
        <f t="shared" si="66"/>
        <v>377.84000000002561</v>
      </c>
    </row>
    <row r="290" spans="1:28" ht="31.5">
      <c r="A290" s="114" t="s">
        <v>1390</v>
      </c>
      <c r="B290" s="125" t="s">
        <v>2128</v>
      </c>
      <c r="C290" s="97" t="s">
        <v>3187</v>
      </c>
      <c r="D290" s="97" t="s">
        <v>1391</v>
      </c>
      <c r="E290" s="540" t="s">
        <v>1392</v>
      </c>
      <c r="F290" s="540" t="s">
        <v>5310</v>
      </c>
      <c r="G290" s="511" t="s">
        <v>184</v>
      </c>
      <c r="H290" s="511" t="s">
        <v>3725</v>
      </c>
      <c r="I290" s="556" t="s">
        <v>1991</v>
      </c>
      <c r="J290" s="557" t="s">
        <v>2869</v>
      </c>
      <c r="K290" s="543" t="s">
        <v>2871</v>
      </c>
      <c r="L290" s="95"/>
      <c r="M290" s="104"/>
      <c r="N290" s="137">
        <v>0</v>
      </c>
      <c r="O290" s="138">
        <v>0</v>
      </c>
      <c r="P290" s="138">
        <v>0</v>
      </c>
      <c r="Q290" s="138">
        <v>0</v>
      </c>
      <c r="R290" s="138">
        <v>0</v>
      </c>
      <c r="S290" s="139">
        <v>0</v>
      </c>
      <c r="T290" s="322">
        <f t="shared" si="67"/>
        <v>0</v>
      </c>
      <c r="U290" s="140" t="str">
        <f t="shared" si="68"/>
        <v/>
      </c>
      <c r="V290" s="322">
        <f t="shared" si="64"/>
        <v>0</v>
      </c>
      <c r="W290" s="140" t="str">
        <f t="shared" si="69"/>
        <v/>
      </c>
      <c r="X290" s="322">
        <f t="shared" si="70"/>
        <v>0</v>
      </c>
      <c r="Y290" s="140" t="str">
        <f t="shared" si="71"/>
        <v/>
      </c>
      <c r="Z290" s="519">
        <v>0</v>
      </c>
      <c r="AA290" s="111">
        <f t="shared" si="65"/>
        <v>0</v>
      </c>
      <c r="AB290" s="111">
        <f t="shared" si="66"/>
        <v>0</v>
      </c>
    </row>
    <row r="291" spans="1:28" ht="15" customHeight="1">
      <c r="A291" s="113" t="s">
        <v>1393</v>
      </c>
      <c r="B291" s="124" t="s">
        <v>2128</v>
      </c>
      <c r="C291" s="101" t="s">
        <v>3189</v>
      </c>
      <c r="D291" s="101" t="s">
        <v>3185</v>
      </c>
      <c r="E291" s="554" t="s">
        <v>4563</v>
      </c>
      <c r="F291" s="534" t="s">
        <v>5311</v>
      </c>
      <c r="G291" s="555"/>
      <c r="H291" s="555"/>
      <c r="I291" s="556"/>
      <c r="J291" s="557"/>
      <c r="K291" s="558"/>
      <c r="L291" s="95"/>
      <c r="M291" s="104"/>
      <c r="N291" s="137">
        <v>0</v>
      </c>
      <c r="O291" s="138">
        <v>0</v>
      </c>
      <c r="P291" s="138">
        <v>0</v>
      </c>
      <c r="Q291" s="138">
        <v>0</v>
      </c>
      <c r="R291" s="138">
        <v>0</v>
      </c>
      <c r="S291" s="139">
        <v>0</v>
      </c>
      <c r="T291" s="322">
        <f t="shared" si="67"/>
        <v>0</v>
      </c>
      <c r="U291" s="140" t="str">
        <f t="shared" si="68"/>
        <v/>
      </c>
      <c r="V291" s="322">
        <f t="shared" si="64"/>
        <v>0</v>
      </c>
      <c r="W291" s="140" t="str">
        <f t="shared" si="69"/>
        <v/>
      </c>
      <c r="X291" s="322">
        <f t="shared" si="70"/>
        <v>0</v>
      </c>
      <c r="Y291" s="140" t="str">
        <f t="shared" si="71"/>
        <v/>
      </c>
      <c r="Z291" s="519">
        <v>0</v>
      </c>
      <c r="AA291" s="111">
        <f t="shared" si="65"/>
        <v>0</v>
      </c>
      <c r="AB291" s="111">
        <f t="shared" si="66"/>
        <v>0</v>
      </c>
    </row>
    <row r="292" spans="1:28" ht="26.25" customHeight="1">
      <c r="A292" s="116" t="s">
        <v>1396</v>
      </c>
      <c r="B292" s="126" t="s">
        <v>2128</v>
      </c>
      <c r="C292" s="98" t="s">
        <v>3189</v>
      </c>
      <c r="D292" s="98" t="s">
        <v>3193</v>
      </c>
      <c r="E292" s="540" t="s">
        <v>490</v>
      </c>
      <c r="F292" s="546" t="s">
        <v>5214</v>
      </c>
      <c r="G292" s="512" t="s">
        <v>660</v>
      </c>
      <c r="H292" s="512" t="s">
        <v>2779</v>
      </c>
      <c r="I292" s="541" t="s">
        <v>5215</v>
      </c>
      <c r="J292" s="576" t="s">
        <v>3599</v>
      </c>
      <c r="K292" s="577" t="s">
        <v>5216</v>
      </c>
      <c r="L292" s="95"/>
      <c r="M292" s="104"/>
      <c r="N292" s="137">
        <v>7465.09</v>
      </c>
      <c r="O292" s="138">
        <v>8000</v>
      </c>
      <c r="P292" s="138">
        <v>7000</v>
      </c>
      <c r="Q292" s="138">
        <v>7000</v>
      </c>
      <c r="R292" s="138">
        <v>7000</v>
      </c>
      <c r="S292" s="139">
        <v>7000</v>
      </c>
      <c r="T292" s="322">
        <f t="shared" si="67"/>
        <v>-465.09000000000015</v>
      </c>
      <c r="U292" s="140">
        <f t="shared" si="68"/>
        <v>-6.2301995019484045E-2</v>
      </c>
      <c r="V292" s="322">
        <f t="shared" si="64"/>
        <v>-1000</v>
      </c>
      <c r="W292" s="140">
        <f t="shared" si="69"/>
        <v>-0.125</v>
      </c>
      <c r="X292" s="322">
        <f t="shared" si="70"/>
        <v>0</v>
      </c>
      <c r="Y292" s="140">
        <f t="shared" si="71"/>
        <v>0</v>
      </c>
      <c r="Z292" s="519">
        <v>3745.44</v>
      </c>
      <c r="AA292" s="111">
        <f t="shared" si="65"/>
        <v>4993.92</v>
      </c>
      <c r="AB292" s="111">
        <f t="shared" si="66"/>
        <v>2006.08</v>
      </c>
    </row>
    <row r="293" spans="1:28" ht="26.25" customHeight="1">
      <c r="A293" s="113" t="s">
        <v>491</v>
      </c>
      <c r="B293" s="135" t="s">
        <v>492</v>
      </c>
      <c r="C293" s="136" t="s">
        <v>3184</v>
      </c>
      <c r="D293" s="136" t="s">
        <v>3185</v>
      </c>
      <c r="E293" s="529" t="s">
        <v>494</v>
      </c>
      <c r="F293" s="529" t="s">
        <v>493</v>
      </c>
      <c r="G293" s="530"/>
      <c r="H293" s="530"/>
      <c r="I293" s="531"/>
      <c r="J293" s="532"/>
      <c r="K293" s="533"/>
      <c r="L293" s="95"/>
      <c r="M293" s="147"/>
      <c r="N293" s="137">
        <v>0</v>
      </c>
      <c r="O293" s="138">
        <v>0</v>
      </c>
      <c r="P293" s="138">
        <v>0</v>
      </c>
      <c r="Q293" s="138">
        <v>0</v>
      </c>
      <c r="R293" s="138">
        <v>0</v>
      </c>
      <c r="S293" s="139">
        <v>0</v>
      </c>
      <c r="T293" s="322">
        <f t="shared" si="67"/>
        <v>0</v>
      </c>
      <c r="U293" s="140" t="str">
        <f t="shared" si="68"/>
        <v/>
      </c>
      <c r="V293" s="322">
        <f t="shared" si="64"/>
        <v>0</v>
      </c>
      <c r="W293" s="140" t="str">
        <f t="shared" si="69"/>
        <v/>
      </c>
      <c r="X293" s="322">
        <f t="shared" si="70"/>
        <v>0</v>
      </c>
      <c r="Y293" s="140" t="str">
        <f t="shared" si="71"/>
        <v/>
      </c>
      <c r="Z293" s="519">
        <v>0</v>
      </c>
      <c r="AA293" s="111">
        <f t="shared" si="65"/>
        <v>0</v>
      </c>
      <c r="AB293" s="111">
        <f t="shared" si="66"/>
        <v>0</v>
      </c>
    </row>
    <row r="294" spans="1:28" ht="26.25" customHeight="1">
      <c r="A294" s="115" t="s">
        <v>495</v>
      </c>
      <c r="B294" s="124" t="s">
        <v>492</v>
      </c>
      <c r="C294" s="101" t="s">
        <v>3186</v>
      </c>
      <c r="D294" s="101" t="s">
        <v>3185</v>
      </c>
      <c r="E294" s="554" t="s">
        <v>497</v>
      </c>
      <c r="F294" s="534" t="s">
        <v>496</v>
      </c>
      <c r="G294" s="555"/>
      <c r="H294" s="555"/>
      <c r="I294" s="556"/>
      <c r="J294" s="557"/>
      <c r="K294" s="558"/>
      <c r="L294" s="95"/>
      <c r="M294" s="104"/>
      <c r="N294" s="137">
        <v>0</v>
      </c>
      <c r="O294" s="138">
        <v>0</v>
      </c>
      <c r="P294" s="138">
        <v>0</v>
      </c>
      <c r="Q294" s="138">
        <v>0</v>
      </c>
      <c r="R294" s="138">
        <v>0</v>
      </c>
      <c r="S294" s="139">
        <v>0</v>
      </c>
      <c r="T294" s="322">
        <f t="shared" si="67"/>
        <v>0</v>
      </c>
      <c r="U294" s="140" t="str">
        <f t="shared" si="68"/>
        <v/>
      </c>
      <c r="V294" s="322">
        <f t="shared" si="64"/>
        <v>0</v>
      </c>
      <c r="W294" s="140" t="str">
        <f t="shared" si="69"/>
        <v/>
      </c>
      <c r="X294" s="322">
        <f t="shared" si="70"/>
        <v>0</v>
      </c>
      <c r="Y294" s="140" t="str">
        <f t="shared" si="71"/>
        <v/>
      </c>
      <c r="Z294" s="519">
        <v>0</v>
      </c>
      <c r="AA294" s="111">
        <f t="shared" si="65"/>
        <v>0</v>
      </c>
      <c r="AB294" s="111">
        <f t="shared" si="66"/>
        <v>0</v>
      </c>
    </row>
    <row r="295" spans="1:28" ht="26.25" customHeight="1">
      <c r="A295" s="114" t="s">
        <v>498</v>
      </c>
      <c r="B295" s="125" t="s">
        <v>492</v>
      </c>
      <c r="C295" s="97" t="s">
        <v>3186</v>
      </c>
      <c r="D295" s="97" t="s">
        <v>3183</v>
      </c>
      <c r="E295" s="559" t="s">
        <v>497</v>
      </c>
      <c r="F295" s="540" t="s">
        <v>496</v>
      </c>
      <c r="G295" s="555" t="s">
        <v>347</v>
      </c>
      <c r="H295" s="555" t="s">
        <v>3726</v>
      </c>
      <c r="I295" s="556" t="s">
        <v>499</v>
      </c>
      <c r="J295" s="557" t="s">
        <v>3604</v>
      </c>
      <c r="K295" s="558" t="s">
        <v>3606</v>
      </c>
      <c r="L295" s="95"/>
      <c r="M295" s="104"/>
      <c r="N295" s="137">
        <v>575531.07999999996</v>
      </c>
      <c r="O295" s="138">
        <v>937500</v>
      </c>
      <c r="P295" s="138">
        <v>581000</v>
      </c>
      <c r="Q295" s="138">
        <v>581000</v>
      </c>
      <c r="R295" s="138">
        <v>581000</v>
      </c>
      <c r="S295" s="139">
        <v>581000</v>
      </c>
      <c r="T295" s="322">
        <f t="shared" si="67"/>
        <v>5468.9200000000419</v>
      </c>
      <c r="U295" s="140">
        <f t="shared" si="68"/>
        <v>9.502388645979019E-3</v>
      </c>
      <c r="V295" s="322">
        <f t="shared" si="64"/>
        <v>-356500</v>
      </c>
      <c r="W295" s="140">
        <f t="shared" si="69"/>
        <v>-0.38026666666666664</v>
      </c>
      <c r="X295" s="322">
        <f t="shared" si="70"/>
        <v>0</v>
      </c>
      <c r="Y295" s="140">
        <f t="shared" si="71"/>
        <v>0</v>
      </c>
      <c r="Z295" s="519">
        <v>436185.11</v>
      </c>
      <c r="AA295" s="111">
        <f t="shared" si="65"/>
        <v>581580.14666666661</v>
      </c>
      <c r="AB295" s="111">
        <f t="shared" si="66"/>
        <v>-580.14666666660924</v>
      </c>
    </row>
    <row r="296" spans="1:28" ht="26.25" customHeight="1">
      <c r="A296" s="115" t="s">
        <v>500</v>
      </c>
      <c r="B296" s="124" t="s">
        <v>492</v>
      </c>
      <c r="C296" s="101" t="s">
        <v>1377</v>
      </c>
      <c r="D296" s="101" t="s">
        <v>3185</v>
      </c>
      <c r="E296" s="554" t="s">
        <v>502</v>
      </c>
      <c r="F296" s="534" t="s">
        <v>501</v>
      </c>
      <c r="G296" s="555"/>
      <c r="H296" s="555"/>
      <c r="I296" s="556"/>
      <c r="J296" s="557"/>
      <c r="K296" s="558"/>
      <c r="L296" s="95"/>
      <c r="M296" s="104"/>
      <c r="N296" s="137">
        <v>0</v>
      </c>
      <c r="O296" s="138">
        <v>0</v>
      </c>
      <c r="P296" s="138">
        <v>0</v>
      </c>
      <c r="Q296" s="138">
        <v>0</v>
      </c>
      <c r="R296" s="138">
        <v>0</v>
      </c>
      <c r="S296" s="139">
        <v>0</v>
      </c>
      <c r="T296" s="322">
        <f t="shared" si="67"/>
        <v>0</v>
      </c>
      <c r="U296" s="140" t="str">
        <f t="shared" si="68"/>
        <v/>
      </c>
      <c r="V296" s="322">
        <f t="shared" si="64"/>
        <v>0</v>
      </c>
      <c r="W296" s="140" t="str">
        <f t="shared" si="69"/>
        <v/>
      </c>
      <c r="X296" s="322">
        <f t="shared" si="70"/>
        <v>0</v>
      </c>
      <c r="Y296" s="140" t="str">
        <f t="shared" si="71"/>
        <v/>
      </c>
      <c r="Z296" s="519">
        <v>0</v>
      </c>
      <c r="AA296" s="111">
        <f t="shared" si="65"/>
        <v>0</v>
      </c>
      <c r="AB296" s="111">
        <f t="shared" si="66"/>
        <v>0</v>
      </c>
    </row>
    <row r="297" spans="1:28" ht="26.25" customHeight="1">
      <c r="A297" s="114" t="s">
        <v>503</v>
      </c>
      <c r="B297" s="125" t="s">
        <v>492</v>
      </c>
      <c r="C297" s="97" t="s">
        <v>1377</v>
      </c>
      <c r="D297" s="97" t="s">
        <v>3183</v>
      </c>
      <c r="E297" s="559" t="s">
        <v>502</v>
      </c>
      <c r="F297" s="540" t="s">
        <v>501</v>
      </c>
      <c r="G297" s="555" t="s">
        <v>341</v>
      </c>
      <c r="H297" s="555" t="s">
        <v>3727</v>
      </c>
      <c r="I297" s="556" t="s">
        <v>504</v>
      </c>
      <c r="J297" s="557" t="s">
        <v>3604</v>
      </c>
      <c r="K297" s="558" t="s">
        <v>3606</v>
      </c>
      <c r="L297" s="95"/>
      <c r="M297" s="104"/>
      <c r="N297" s="137">
        <v>202322.76</v>
      </c>
      <c r="O297" s="138">
        <v>262500</v>
      </c>
      <c r="P297" s="138">
        <v>207000</v>
      </c>
      <c r="Q297" s="138">
        <v>207000</v>
      </c>
      <c r="R297" s="138">
        <v>207000</v>
      </c>
      <c r="S297" s="139">
        <v>207000</v>
      </c>
      <c r="T297" s="322">
        <f t="shared" si="67"/>
        <v>4677.2399999999907</v>
      </c>
      <c r="U297" s="140">
        <f t="shared" si="68"/>
        <v>2.3117715476004729E-2</v>
      </c>
      <c r="V297" s="322">
        <f t="shared" si="64"/>
        <v>-55500</v>
      </c>
      <c r="W297" s="140">
        <f t="shared" si="69"/>
        <v>-0.21142857142857144</v>
      </c>
      <c r="X297" s="322">
        <f t="shared" si="70"/>
        <v>0</v>
      </c>
      <c r="Y297" s="140">
        <f t="shared" si="71"/>
        <v>0</v>
      </c>
      <c r="Z297" s="519">
        <v>155046.84</v>
      </c>
      <c r="AA297" s="111">
        <f t="shared" si="65"/>
        <v>206729.12</v>
      </c>
      <c r="AB297" s="111">
        <f t="shared" si="66"/>
        <v>270.88000000000466</v>
      </c>
    </row>
    <row r="298" spans="1:28" ht="26.25" customHeight="1">
      <c r="A298" s="115" t="s">
        <v>505</v>
      </c>
      <c r="B298" s="124" t="s">
        <v>492</v>
      </c>
      <c r="C298" s="101" t="s">
        <v>2140</v>
      </c>
      <c r="D298" s="101" t="s">
        <v>3185</v>
      </c>
      <c r="E298" s="554" t="s">
        <v>507</v>
      </c>
      <c r="F298" s="534" t="s">
        <v>506</v>
      </c>
      <c r="G298" s="555"/>
      <c r="H298" s="555"/>
      <c r="I298" s="556"/>
      <c r="J298" s="557"/>
      <c r="K298" s="558"/>
      <c r="L298" s="95"/>
      <c r="M298" s="104"/>
      <c r="N298" s="137">
        <v>0</v>
      </c>
      <c r="O298" s="138">
        <v>0</v>
      </c>
      <c r="P298" s="138">
        <v>0</v>
      </c>
      <c r="Q298" s="138">
        <v>0</v>
      </c>
      <c r="R298" s="138">
        <v>0</v>
      </c>
      <c r="S298" s="139">
        <v>0</v>
      </c>
      <c r="T298" s="322">
        <f t="shared" si="67"/>
        <v>0</v>
      </c>
      <c r="U298" s="140" t="str">
        <f t="shared" si="68"/>
        <v/>
      </c>
      <c r="V298" s="322">
        <f t="shared" si="64"/>
        <v>0</v>
      </c>
      <c r="W298" s="140" t="str">
        <f t="shared" si="69"/>
        <v/>
      </c>
      <c r="X298" s="322">
        <f t="shared" si="70"/>
        <v>0</v>
      </c>
      <c r="Y298" s="140" t="str">
        <f t="shared" si="71"/>
        <v/>
      </c>
      <c r="Z298" s="519">
        <v>0</v>
      </c>
      <c r="AA298" s="111">
        <f t="shared" si="65"/>
        <v>0</v>
      </c>
      <c r="AB298" s="111">
        <f t="shared" si="66"/>
        <v>0</v>
      </c>
    </row>
    <row r="299" spans="1:28" ht="21">
      <c r="A299" s="114" t="s">
        <v>508</v>
      </c>
      <c r="B299" s="125" t="s">
        <v>492</v>
      </c>
      <c r="C299" s="97" t="s">
        <v>2140</v>
      </c>
      <c r="D299" s="97" t="s">
        <v>3183</v>
      </c>
      <c r="E299" s="559" t="s">
        <v>507</v>
      </c>
      <c r="F299" s="540" t="s">
        <v>506</v>
      </c>
      <c r="G299" s="555" t="s">
        <v>347</v>
      </c>
      <c r="H299" s="555" t="s">
        <v>3726</v>
      </c>
      <c r="I299" s="556" t="s">
        <v>499</v>
      </c>
      <c r="J299" s="557" t="s">
        <v>3604</v>
      </c>
      <c r="K299" s="558" t="s">
        <v>3606</v>
      </c>
      <c r="L299" s="95"/>
      <c r="M299" s="104"/>
      <c r="N299" s="137">
        <v>16907.39</v>
      </c>
      <c r="O299" s="138">
        <v>17000</v>
      </c>
      <c r="P299" s="138">
        <v>17000</v>
      </c>
      <c r="Q299" s="138">
        <v>17000</v>
      </c>
      <c r="R299" s="138">
        <v>17000</v>
      </c>
      <c r="S299" s="139">
        <v>17000</v>
      </c>
      <c r="T299" s="322">
        <f t="shared" si="67"/>
        <v>92.610000000000582</v>
      </c>
      <c r="U299" s="140">
        <f t="shared" si="68"/>
        <v>5.4774864718919111E-3</v>
      </c>
      <c r="V299" s="322">
        <f t="shared" si="64"/>
        <v>0</v>
      </c>
      <c r="W299" s="140">
        <f t="shared" si="69"/>
        <v>0</v>
      </c>
      <c r="X299" s="322">
        <f t="shared" si="70"/>
        <v>0</v>
      </c>
      <c r="Y299" s="140">
        <f t="shared" si="71"/>
        <v>0</v>
      </c>
      <c r="Z299" s="519">
        <v>12494.35</v>
      </c>
      <c r="AA299" s="111">
        <f t="shared" si="65"/>
        <v>16659.133333333335</v>
      </c>
      <c r="AB299" s="111">
        <f t="shared" si="66"/>
        <v>340.86666666666497</v>
      </c>
    </row>
    <row r="300" spans="1:28" ht="26.25" customHeight="1">
      <c r="A300" s="115" t="s">
        <v>509</v>
      </c>
      <c r="B300" s="124" t="s">
        <v>492</v>
      </c>
      <c r="C300" s="101" t="s">
        <v>2141</v>
      </c>
      <c r="D300" s="101" t="s">
        <v>3185</v>
      </c>
      <c r="E300" s="554" t="s">
        <v>511</v>
      </c>
      <c r="F300" s="534" t="s">
        <v>510</v>
      </c>
      <c r="G300" s="555"/>
      <c r="H300" s="555"/>
      <c r="I300" s="556"/>
      <c r="J300" s="557"/>
      <c r="K300" s="558"/>
      <c r="L300" s="95"/>
      <c r="M300" s="104"/>
      <c r="N300" s="137">
        <v>0</v>
      </c>
      <c r="O300" s="138">
        <v>0</v>
      </c>
      <c r="P300" s="138">
        <v>0</v>
      </c>
      <c r="Q300" s="138">
        <v>0</v>
      </c>
      <c r="R300" s="138">
        <v>0</v>
      </c>
      <c r="S300" s="139">
        <v>0</v>
      </c>
      <c r="T300" s="322">
        <f t="shared" si="67"/>
        <v>0</v>
      </c>
      <c r="U300" s="140" t="str">
        <f t="shared" si="68"/>
        <v/>
      </c>
      <c r="V300" s="322">
        <f t="shared" si="64"/>
        <v>0</v>
      </c>
      <c r="W300" s="140" t="str">
        <f t="shared" si="69"/>
        <v/>
      </c>
      <c r="X300" s="322">
        <f t="shared" si="70"/>
        <v>0</v>
      </c>
      <c r="Y300" s="140" t="str">
        <f t="shared" si="71"/>
        <v/>
      </c>
      <c r="Z300" s="519">
        <v>0</v>
      </c>
      <c r="AA300" s="111">
        <f t="shared" si="65"/>
        <v>0</v>
      </c>
      <c r="AB300" s="111">
        <f t="shared" si="66"/>
        <v>0</v>
      </c>
    </row>
    <row r="301" spans="1:28" ht="26.25" customHeight="1">
      <c r="A301" s="116" t="s">
        <v>512</v>
      </c>
      <c r="B301" s="126" t="s">
        <v>492</v>
      </c>
      <c r="C301" s="98" t="s">
        <v>2141</v>
      </c>
      <c r="D301" s="98" t="s">
        <v>3183</v>
      </c>
      <c r="E301" s="559" t="s">
        <v>511</v>
      </c>
      <c r="F301" s="540" t="s">
        <v>510</v>
      </c>
      <c r="G301" s="555" t="s">
        <v>347</v>
      </c>
      <c r="H301" s="555" t="s">
        <v>3726</v>
      </c>
      <c r="I301" s="556" t="s">
        <v>499</v>
      </c>
      <c r="J301" s="557" t="s">
        <v>3604</v>
      </c>
      <c r="K301" s="558" t="s">
        <v>3606</v>
      </c>
      <c r="L301" s="95"/>
      <c r="M301" s="104"/>
      <c r="N301" s="137">
        <v>0</v>
      </c>
      <c r="O301" s="138">
        <v>1000</v>
      </c>
      <c r="P301" s="138">
        <v>0</v>
      </c>
      <c r="Q301" s="138">
        <v>1000</v>
      </c>
      <c r="R301" s="138">
        <v>1000</v>
      </c>
      <c r="S301" s="139">
        <v>1000</v>
      </c>
      <c r="T301" s="322">
        <f t="shared" si="67"/>
        <v>1000</v>
      </c>
      <c r="U301" s="140" t="str">
        <f t="shared" si="68"/>
        <v/>
      </c>
      <c r="V301" s="322">
        <f t="shared" si="64"/>
        <v>0</v>
      </c>
      <c r="W301" s="140">
        <f t="shared" si="69"/>
        <v>0</v>
      </c>
      <c r="X301" s="322">
        <f t="shared" si="70"/>
        <v>1000</v>
      </c>
      <c r="Y301" s="140" t="str">
        <f t="shared" si="71"/>
        <v/>
      </c>
      <c r="Z301" s="519">
        <v>0</v>
      </c>
      <c r="AA301" s="111">
        <f t="shared" si="65"/>
        <v>0</v>
      </c>
      <c r="AB301" s="111">
        <f t="shared" si="66"/>
        <v>0</v>
      </c>
    </row>
    <row r="302" spans="1:28" ht="26.25" customHeight="1">
      <c r="A302" s="116" t="s">
        <v>513</v>
      </c>
      <c r="B302" s="126" t="s">
        <v>492</v>
      </c>
      <c r="C302" s="98" t="s">
        <v>2141</v>
      </c>
      <c r="D302" s="98" t="s">
        <v>3193</v>
      </c>
      <c r="E302" s="540" t="s">
        <v>3728</v>
      </c>
      <c r="F302" s="540" t="s">
        <v>514</v>
      </c>
      <c r="G302" s="555" t="s">
        <v>347</v>
      </c>
      <c r="H302" s="555" t="s">
        <v>3726</v>
      </c>
      <c r="I302" s="556" t="s">
        <v>499</v>
      </c>
      <c r="J302" s="557" t="s">
        <v>3604</v>
      </c>
      <c r="K302" s="558" t="s">
        <v>3606</v>
      </c>
      <c r="L302" s="95"/>
      <c r="M302" s="104"/>
      <c r="N302" s="137">
        <v>25306.54</v>
      </c>
      <c r="O302" s="138">
        <v>20000</v>
      </c>
      <c r="P302" s="138">
        <v>20000</v>
      </c>
      <c r="Q302" s="138">
        <v>20000</v>
      </c>
      <c r="R302" s="138">
        <v>20000</v>
      </c>
      <c r="S302" s="139">
        <v>20000</v>
      </c>
      <c r="T302" s="322">
        <f t="shared" si="67"/>
        <v>-5306.5400000000009</v>
      </c>
      <c r="U302" s="140">
        <f t="shared" si="68"/>
        <v>-0.20969045946225762</v>
      </c>
      <c r="V302" s="322">
        <f t="shared" si="64"/>
        <v>0</v>
      </c>
      <c r="W302" s="140">
        <f t="shared" si="69"/>
        <v>0</v>
      </c>
      <c r="X302" s="322">
        <f t="shared" si="70"/>
        <v>0</v>
      </c>
      <c r="Y302" s="140">
        <f t="shared" si="71"/>
        <v>0</v>
      </c>
      <c r="Z302" s="519">
        <v>15395.04</v>
      </c>
      <c r="AA302" s="111">
        <f t="shared" si="65"/>
        <v>20526.72</v>
      </c>
      <c r="AB302" s="111">
        <f t="shared" si="66"/>
        <v>-526.72000000000116</v>
      </c>
    </row>
    <row r="303" spans="1:28" ht="26.25" customHeight="1">
      <c r="A303" s="115" t="s">
        <v>515</v>
      </c>
      <c r="B303" s="124" t="s">
        <v>492</v>
      </c>
      <c r="C303" s="101" t="s">
        <v>2263</v>
      </c>
      <c r="D303" s="101" t="s">
        <v>3185</v>
      </c>
      <c r="E303" s="554" t="s">
        <v>517</v>
      </c>
      <c r="F303" s="534" t="s">
        <v>516</v>
      </c>
      <c r="G303" s="555"/>
      <c r="H303" s="555"/>
      <c r="I303" s="556"/>
      <c r="J303" s="557"/>
      <c r="K303" s="558"/>
      <c r="L303" s="95"/>
      <c r="M303" s="104"/>
      <c r="N303" s="137">
        <v>0</v>
      </c>
      <c r="O303" s="138">
        <v>0</v>
      </c>
      <c r="P303" s="138">
        <v>0</v>
      </c>
      <c r="Q303" s="138">
        <v>0</v>
      </c>
      <c r="R303" s="138">
        <v>0</v>
      </c>
      <c r="S303" s="139">
        <v>0</v>
      </c>
      <c r="T303" s="322">
        <f t="shared" si="67"/>
        <v>0</v>
      </c>
      <c r="U303" s="140" t="str">
        <f t="shared" si="68"/>
        <v/>
      </c>
      <c r="V303" s="322">
        <f t="shared" si="64"/>
        <v>0</v>
      </c>
      <c r="W303" s="140" t="str">
        <f t="shared" si="69"/>
        <v/>
      </c>
      <c r="X303" s="322">
        <f t="shared" si="70"/>
        <v>0</v>
      </c>
      <c r="Y303" s="140" t="str">
        <f t="shared" si="71"/>
        <v/>
      </c>
      <c r="Z303" s="519">
        <v>0</v>
      </c>
      <c r="AA303" s="111">
        <f t="shared" si="65"/>
        <v>0</v>
      </c>
      <c r="AB303" s="111">
        <f t="shared" si="66"/>
        <v>0</v>
      </c>
    </row>
    <row r="304" spans="1:28" ht="26.25" customHeight="1">
      <c r="A304" s="114" t="s">
        <v>518</v>
      </c>
      <c r="B304" s="125" t="s">
        <v>492</v>
      </c>
      <c r="C304" s="97" t="s">
        <v>2263</v>
      </c>
      <c r="D304" s="97" t="s">
        <v>3183</v>
      </c>
      <c r="E304" s="559" t="s">
        <v>3770</v>
      </c>
      <c r="F304" s="540" t="s">
        <v>3771</v>
      </c>
      <c r="G304" s="555" t="s">
        <v>347</v>
      </c>
      <c r="H304" s="555" t="s">
        <v>3726</v>
      </c>
      <c r="I304" s="556" t="s">
        <v>499</v>
      </c>
      <c r="J304" s="557" t="s">
        <v>3604</v>
      </c>
      <c r="K304" s="558" t="s">
        <v>3606</v>
      </c>
      <c r="L304" s="95"/>
      <c r="M304" s="104"/>
      <c r="N304" s="137">
        <v>1204847.1000000001</v>
      </c>
      <c r="O304" s="138">
        <v>1425000</v>
      </c>
      <c r="P304" s="138">
        <v>1385000</v>
      </c>
      <c r="Q304" s="138">
        <v>1385000</v>
      </c>
      <c r="R304" s="138">
        <v>1385000</v>
      </c>
      <c r="S304" s="139">
        <v>1385000</v>
      </c>
      <c r="T304" s="322">
        <f t="shared" si="67"/>
        <v>180152.89999999991</v>
      </c>
      <c r="U304" s="140">
        <f t="shared" si="68"/>
        <v>0.14952345405487541</v>
      </c>
      <c r="V304" s="322">
        <f t="shared" si="64"/>
        <v>-40000</v>
      </c>
      <c r="W304" s="140">
        <f t="shared" si="69"/>
        <v>-2.8070175438596492E-2</v>
      </c>
      <c r="X304" s="322">
        <f t="shared" si="70"/>
        <v>0</v>
      </c>
      <c r="Y304" s="140">
        <f t="shared" si="71"/>
        <v>0</v>
      </c>
      <c r="Z304" s="519">
        <v>1038666.98</v>
      </c>
      <c r="AA304" s="111">
        <f t="shared" si="65"/>
        <v>1384889.3066666666</v>
      </c>
      <c r="AB304" s="111">
        <f t="shared" si="66"/>
        <v>110.69333333335817</v>
      </c>
    </row>
    <row r="305" spans="1:28" ht="26.25" customHeight="1">
      <c r="A305" s="114" t="s">
        <v>3762</v>
      </c>
      <c r="B305" s="125" t="s">
        <v>492</v>
      </c>
      <c r="C305" s="97" t="s">
        <v>2263</v>
      </c>
      <c r="D305" s="97" t="s">
        <v>3193</v>
      </c>
      <c r="E305" s="559" t="s">
        <v>3763</v>
      </c>
      <c r="F305" s="540" t="s">
        <v>3764</v>
      </c>
      <c r="G305" s="555" t="s">
        <v>341</v>
      </c>
      <c r="H305" s="555" t="s">
        <v>3727</v>
      </c>
      <c r="I305" s="556" t="s">
        <v>504</v>
      </c>
      <c r="J305" s="557" t="s">
        <v>3604</v>
      </c>
      <c r="K305" s="558" t="s">
        <v>3765</v>
      </c>
      <c r="L305" s="95"/>
      <c r="M305" s="104"/>
      <c r="N305" s="137">
        <v>14118.14</v>
      </c>
      <c r="O305" s="138">
        <v>32500</v>
      </c>
      <c r="P305" s="138">
        <v>25000</v>
      </c>
      <c r="Q305" s="138">
        <v>25000</v>
      </c>
      <c r="R305" s="138">
        <v>25000</v>
      </c>
      <c r="S305" s="139">
        <v>25000</v>
      </c>
      <c r="T305" s="322">
        <f t="shared" si="67"/>
        <v>10881.86</v>
      </c>
      <c r="U305" s="140">
        <f t="shared" si="68"/>
        <v>0.77077150389498905</v>
      </c>
      <c r="V305" s="322">
        <f t="shared" si="64"/>
        <v>-7500</v>
      </c>
      <c r="W305" s="140">
        <f t="shared" si="69"/>
        <v>-0.23076923076923078</v>
      </c>
      <c r="X305" s="322">
        <f t="shared" si="70"/>
        <v>0</v>
      </c>
      <c r="Y305" s="140">
        <f t="shared" si="71"/>
        <v>0</v>
      </c>
      <c r="Z305" s="519">
        <v>19154.580000000002</v>
      </c>
      <c r="AA305" s="111">
        <f t="shared" si="65"/>
        <v>25539.440000000002</v>
      </c>
      <c r="AB305" s="111">
        <f t="shared" si="66"/>
        <v>-539.44000000000233</v>
      </c>
    </row>
    <row r="306" spans="1:28" ht="26.25" customHeight="1">
      <c r="A306" s="115" t="s">
        <v>519</v>
      </c>
      <c r="B306" s="124" t="s">
        <v>492</v>
      </c>
      <c r="C306" s="101" t="s">
        <v>2759</v>
      </c>
      <c r="D306" s="101" t="s">
        <v>3185</v>
      </c>
      <c r="E306" s="554" t="s">
        <v>521</v>
      </c>
      <c r="F306" s="534" t="s">
        <v>520</v>
      </c>
      <c r="G306" s="555"/>
      <c r="H306" s="555"/>
      <c r="I306" s="556"/>
      <c r="J306" s="557"/>
      <c r="K306" s="558"/>
      <c r="L306" s="95"/>
      <c r="M306" s="104"/>
      <c r="N306" s="137">
        <v>0</v>
      </c>
      <c r="O306" s="138">
        <v>0</v>
      </c>
      <c r="P306" s="138">
        <v>0</v>
      </c>
      <c r="Q306" s="138">
        <v>0</v>
      </c>
      <c r="R306" s="138">
        <v>0</v>
      </c>
      <c r="S306" s="139">
        <v>0</v>
      </c>
      <c r="T306" s="322">
        <f t="shared" si="67"/>
        <v>0</v>
      </c>
      <c r="U306" s="140" t="str">
        <f t="shared" si="68"/>
        <v/>
      </c>
      <c r="V306" s="322">
        <f t="shared" si="64"/>
        <v>0</v>
      </c>
      <c r="W306" s="140" t="str">
        <f t="shared" si="69"/>
        <v/>
      </c>
      <c r="X306" s="322">
        <f t="shared" si="70"/>
        <v>0</v>
      </c>
      <c r="Y306" s="140" t="str">
        <f t="shared" si="71"/>
        <v/>
      </c>
      <c r="Z306" s="519">
        <v>0</v>
      </c>
      <c r="AA306" s="111">
        <f t="shared" si="65"/>
        <v>0</v>
      </c>
      <c r="AB306" s="111">
        <f t="shared" si="66"/>
        <v>0</v>
      </c>
    </row>
    <row r="307" spans="1:28" ht="26.25" customHeight="1">
      <c r="A307" s="114" t="s">
        <v>522</v>
      </c>
      <c r="B307" s="125" t="s">
        <v>492</v>
      </c>
      <c r="C307" s="97" t="s">
        <v>2759</v>
      </c>
      <c r="D307" s="97" t="s">
        <v>3183</v>
      </c>
      <c r="E307" s="559" t="s">
        <v>521</v>
      </c>
      <c r="F307" s="540" t="s">
        <v>520</v>
      </c>
      <c r="G307" s="555" t="s">
        <v>347</v>
      </c>
      <c r="H307" s="555" t="s">
        <v>3726</v>
      </c>
      <c r="I307" s="556" t="s">
        <v>499</v>
      </c>
      <c r="J307" s="557" t="s">
        <v>3604</v>
      </c>
      <c r="K307" s="558" t="s">
        <v>3606</v>
      </c>
      <c r="L307" s="95"/>
      <c r="M307" s="104"/>
      <c r="N307" s="137">
        <v>2791953.52</v>
      </c>
      <c r="O307" s="138">
        <v>3000000</v>
      </c>
      <c r="P307" s="138">
        <v>2700000</v>
      </c>
      <c r="Q307" s="138">
        <v>2700000</v>
      </c>
      <c r="R307" s="138">
        <v>2700000</v>
      </c>
      <c r="S307" s="139">
        <v>2700000</v>
      </c>
      <c r="T307" s="322">
        <f t="shared" si="67"/>
        <v>-91953.520000000019</v>
      </c>
      <c r="U307" s="140">
        <f t="shared" si="68"/>
        <v>-3.2935190124511821E-2</v>
      </c>
      <c r="V307" s="322">
        <f t="shared" si="64"/>
        <v>-300000</v>
      </c>
      <c r="W307" s="140">
        <f t="shared" si="69"/>
        <v>-0.1</v>
      </c>
      <c r="X307" s="322">
        <f t="shared" si="70"/>
        <v>0</v>
      </c>
      <c r="Y307" s="140">
        <f t="shared" si="71"/>
        <v>0</v>
      </c>
      <c r="Z307" s="519">
        <v>2024733.86</v>
      </c>
      <c r="AA307" s="111">
        <f t="shared" si="65"/>
        <v>2699645.146666667</v>
      </c>
      <c r="AB307" s="111">
        <f t="shared" si="66"/>
        <v>354.85333333304152</v>
      </c>
    </row>
    <row r="308" spans="1:28" ht="36.75" customHeight="1">
      <c r="A308" s="115" t="s">
        <v>523</v>
      </c>
      <c r="B308" s="124" t="s">
        <v>492</v>
      </c>
      <c r="C308" s="101" t="s">
        <v>3187</v>
      </c>
      <c r="D308" s="101" t="s">
        <v>3185</v>
      </c>
      <c r="E308" s="554" t="s">
        <v>1406</v>
      </c>
      <c r="F308" s="534" t="s">
        <v>524</v>
      </c>
      <c r="G308" s="555"/>
      <c r="H308" s="555"/>
      <c r="I308" s="556"/>
      <c r="J308" s="557"/>
      <c r="K308" s="558"/>
      <c r="L308" s="95"/>
      <c r="M308" s="104"/>
      <c r="N308" s="137">
        <v>0</v>
      </c>
      <c r="O308" s="138">
        <v>0</v>
      </c>
      <c r="P308" s="138">
        <v>0</v>
      </c>
      <c r="Q308" s="138">
        <v>0</v>
      </c>
      <c r="R308" s="138">
        <v>0</v>
      </c>
      <c r="S308" s="139">
        <v>0</v>
      </c>
      <c r="T308" s="322">
        <f t="shared" si="67"/>
        <v>0</v>
      </c>
      <c r="U308" s="140" t="str">
        <f t="shared" si="68"/>
        <v/>
      </c>
      <c r="V308" s="322">
        <f t="shared" si="64"/>
        <v>0</v>
      </c>
      <c r="W308" s="140" t="str">
        <f t="shared" si="69"/>
        <v/>
      </c>
      <c r="X308" s="322">
        <f t="shared" si="70"/>
        <v>0</v>
      </c>
      <c r="Y308" s="140" t="str">
        <f t="shared" si="71"/>
        <v/>
      </c>
      <c r="Z308" s="519">
        <v>0</v>
      </c>
      <c r="AA308" s="111">
        <f t="shared" si="65"/>
        <v>0</v>
      </c>
      <c r="AB308" s="111">
        <f t="shared" si="66"/>
        <v>0</v>
      </c>
    </row>
    <row r="309" spans="1:28" ht="37.5" customHeight="1">
      <c r="A309" s="114" t="s">
        <v>1407</v>
      </c>
      <c r="B309" s="125" t="s">
        <v>492</v>
      </c>
      <c r="C309" s="97" t="s">
        <v>3187</v>
      </c>
      <c r="D309" s="97" t="s">
        <v>3183</v>
      </c>
      <c r="E309" s="559" t="s">
        <v>1406</v>
      </c>
      <c r="F309" s="540" t="s">
        <v>524</v>
      </c>
      <c r="G309" s="555" t="s">
        <v>347</v>
      </c>
      <c r="H309" s="555" t="s">
        <v>3726</v>
      </c>
      <c r="I309" s="556" t="s">
        <v>499</v>
      </c>
      <c r="J309" s="557" t="s">
        <v>3604</v>
      </c>
      <c r="K309" s="558" t="s">
        <v>3606</v>
      </c>
      <c r="L309" s="95"/>
      <c r="M309" s="104"/>
      <c r="N309" s="137">
        <v>1594.8</v>
      </c>
      <c r="O309" s="138">
        <v>2200</v>
      </c>
      <c r="P309" s="138">
        <v>2000</v>
      </c>
      <c r="Q309" s="138">
        <v>2000</v>
      </c>
      <c r="R309" s="138">
        <v>2000</v>
      </c>
      <c r="S309" s="139">
        <v>2000</v>
      </c>
      <c r="T309" s="322">
        <f t="shared" si="67"/>
        <v>405.20000000000005</v>
      </c>
      <c r="U309" s="140">
        <f t="shared" si="68"/>
        <v>0.25407574617506901</v>
      </c>
      <c r="V309" s="322">
        <f t="shared" si="64"/>
        <v>-200</v>
      </c>
      <c r="W309" s="140">
        <f t="shared" si="69"/>
        <v>-9.0909090909090912E-2</v>
      </c>
      <c r="X309" s="322">
        <f t="shared" si="70"/>
        <v>0</v>
      </c>
      <c r="Y309" s="140">
        <f t="shared" si="71"/>
        <v>0</v>
      </c>
      <c r="Z309" s="519">
        <v>1134.28</v>
      </c>
      <c r="AA309" s="111">
        <f t="shared" si="65"/>
        <v>1512.3733333333332</v>
      </c>
      <c r="AB309" s="111">
        <f t="shared" si="66"/>
        <v>487.62666666666678</v>
      </c>
    </row>
    <row r="310" spans="1:28" ht="18.75" customHeight="1">
      <c r="A310" s="115" t="s">
        <v>1408</v>
      </c>
      <c r="B310" s="124" t="s">
        <v>492</v>
      </c>
      <c r="C310" s="101" t="s">
        <v>3422</v>
      </c>
      <c r="D310" s="101" t="s">
        <v>3185</v>
      </c>
      <c r="E310" s="554" t="s">
        <v>1410</v>
      </c>
      <c r="F310" s="534" t="s">
        <v>1409</v>
      </c>
      <c r="G310" s="555"/>
      <c r="H310" s="555"/>
      <c r="I310" s="556"/>
      <c r="J310" s="557"/>
      <c r="K310" s="558"/>
      <c r="L310" s="95"/>
      <c r="M310" s="104"/>
      <c r="N310" s="137">
        <v>0</v>
      </c>
      <c r="O310" s="138">
        <v>0</v>
      </c>
      <c r="P310" s="138">
        <v>0</v>
      </c>
      <c r="Q310" s="138">
        <v>0</v>
      </c>
      <c r="R310" s="138">
        <v>0</v>
      </c>
      <c r="S310" s="139">
        <v>0</v>
      </c>
      <c r="T310" s="322">
        <f t="shared" si="67"/>
        <v>0</v>
      </c>
      <c r="U310" s="140" t="str">
        <f t="shared" si="68"/>
        <v/>
      </c>
      <c r="V310" s="322">
        <f t="shared" si="64"/>
        <v>0</v>
      </c>
      <c r="W310" s="140" t="str">
        <f t="shared" si="69"/>
        <v/>
      </c>
      <c r="X310" s="322">
        <f t="shared" si="70"/>
        <v>0</v>
      </c>
      <c r="Y310" s="140" t="str">
        <f t="shared" si="71"/>
        <v/>
      </c>
      <c r="Z310" s="519">
        <v>0</v>
      </c>
      <c r="AA310" s="111">
        <f t="shared" si="65"/>
        <v>0</v>
      </c>
      <c r="AB310" s="111">
        <f t="shared" si="66"/>
        <v>0</v>
      </c>
    </row>
    <row r="311" spans="1:28" ht="18.75" customHeight="1">
      <c r="A311" s="114" t="s">
        <v>1411</v>
      </c>
      <c r="B311" s="125" t="s">
        <v>492</v>
      </c>
      <c r="C311" s="97" t="s">
        <v>3422</v>
      </c>
      <c r="D311" s="97" t="s">
        <v>3183</v>
      </c>
      <c r="E311" s="559" t="s">
        <v>1410</v>
      </c>
      <c r="F311" s="540" t="s">
        <v>1409</v>
      </c>
      <c r="G311" s="555" t="s">
        <v>347</v>
      </c>
      <c r="H311" s="555" t="s">
        <v>3726</v>
      </c>
      <c r="I311" s="556" t="s">
        <v>499</v>
      </c>
      <c r="J311" s="557" t="s">
        <v>3604</v>
      </c>
      <c r="K311" s="558" t="s">
        <v>3606</v>
      </c>
      <c r="L311" s="95"/>
      <c r="M311" s="104"/>
      <c r="N311" s="137">
        <v>0</v>
      </c>
      <c r="O311" s="138">
        <v>0</v>
      </c>
      <c r="P311" s="138">
        <v>0</v>
      </c>
      <c r="Q311" s="138">
        <v>0</v>
      </c>
      <c r="R311" s="138">
        <v>0</v>
      </c>
      <c r="S311" s="139">
        <v>0</v>
      </c>
      <c r="T311" s="322">
        <f t="shared" si="67"/>
        <v>0</v>
      </c>
      <c r="U311" s="140" t="str">
        <f t="shared" si="68"/>
        <v/>
      </c>
      <c r="V311" s="322">
        <f t="shared" si="64"/>
        <v>0</v>
      </c>
      <c r="W311" s="140" t="str">
        <f t="shared" si="69"/>
        <v/>
      </c>
      <c r="X311" s="322">
        <f t="shared" si="70"/>
        <v>0</v>
      </c>
      <c r="Y311" s="140" t="str">
        <f t="shared" si="71"/>
        <v/>
      </c>
      <c r="Z311" s="519">
        <v>0</v>
      </c>
      <c r="AA311" s="111">
        <f t="shared" si="65"/>
        <v>0</v>
      </c>
      <c r="AB311" s="111">
        <f t="shared" si="66"/>
        <v>0</v>
      </c>
    </row>
    <row r="312" spans="1:28" ht="18.75" customHeight="1">
      <c r="A312" s="115" t="s">
        <v>1412</v>
      </c>
      <c r="B312" s="124" t="s">
        <v>492</v>
      </c>
      <c r="C312" s="101" t="s">
        <v>2362</v>
      </c>
      <c r="D312" s="101" t="s">
        <v>3185</v>
      </c>
      <c r="E312" s="554" t="s">
        <v>1414</v>
      </c>
      <c r="F312" s="534" t="s">
        <v>1413</v>
      </c>
      <c r="G312" s="555"/>
      <c r="H312" s="555"/>
      <c r="I312" s="556"/>
      <c r="J312" s="557"/>
      <c r="K312" s="558"/>
      <c r="L312" s="95"/>
      <c r="M312" s="104"/>
      <c r="N312" s="137">
        <v>0</v>
      </c>
      <c r="O312" s="138">
        <v>0</v>
      </c>
      <c r="P312" s="138">
        <v>0</v>
      </c>
      <c r="Q312" s="138">
        <v>0</v>
      </c>
      <c r="R312" s="138">
        <v>0</v>
      </c>
      <c r="S312" s="139">
        <v>0</v>
      </c>
      <c r="T312" s="322">
        <f t="shared" si="67"/>
        <v>0</v>
      </c>
      <c r="U312" s="140" t="str">
        <f t="shared" si="68"/>
        <v/>
      </c>
      <c r="V312" s="322">
        <f t="shared" si="64"/>
        <v>0</v>
      </c>
      <c r="W312" s="140" t="str">
        <f t="shared" si="69"/>
        <v/>
      </c>
      <c r="X312" s="322">
        <f t="shared" si="70"/>
        <v>0</v>
      </c>
      <c r="Y312" s="140" t="str">
        <f t="shared" si="71"/>
        <v/>
      </c>
      <c r="Z312" s="519">
        <v>0</v>
      </c>
      <c r="AA312" s="111">
        <f t="shared" si="65"/>
        <v>0</v>
      </c>
      <c r="AB312" s="111">
        <f t="shared" si="66"/>
        <v>0</v>
      </c>
    </row>
    <row r="313" spans="1:28" ht="18" customHeight="1">
      <c r="A313" s="114" t="s">
        <v>1415</v>
      </c>
      <c r="B313" s="125" t="s">
        <v>492</v>
      </c>
      <c r="C313" s="98" t="s">
        <v>2362</v>
      </c>
      <c r="D313" s="98" t="s">
        <v>3183</v>
      </c>
      <c r="E313" s="540" t="s">
        <v>5444</v>
      </c>
      <c r="F313" s="539" t="s">
        <v>5312</v>
      </c>
      <c r="G313" s="555" t="s">
        <v>339</v>
      </c>
      <c r="H313" s="555" t="s">
        <v>3729</v>
      </c>
      <c r="I313" s="556" t="s">
        <v>1416</v>
      </c>
      <c r="J313" s="557" t="s">
        <v>3604</v>
      </c>
      <c r="K313" s="558" t="s">
        <v>3606</v>
      </c>
      <c r="L313" s="95"/>
      <c r="M313" s="104"/>
      <c r="N313" s="137">
        <v>677203.17</v>
      </c>
      <c r="O313" s="138">
        <v>730000</v>
      </c>
      <c r="P313" s="138">
        <v>730000</v>
      </c>
      <c r="Q313" s="138">
        <v>730000</v>
      </c>
      <c r="R313" s="138">
        <v>730000</v>
      </c>
      <c r="S313" s="139">
        <v>730000</v>
      </c>
      <c r="T313" s="322">
        <f t="shared" si="67"/>
        <v>52796.829999999958</v>
      </c>
      <c r="U313" s="140">
        <f t="shared" si="68"/>
        <v>7.7963057969737432E-2</v>
      </c>
      <c r="V313" s="322">
        <f t="shared" si="64"/>
        <v>0</v>
      </c>
      <c r="W313" s="140">
        <f t="shared" si="69"/>
        <v>0</v>
      </c>
      <c r="X313" s="322">
        <f t="shared" si="70"/>
        <v>0</v>
      </c>
      <c r="Y313" s="140">
        <f t="shared" si="71"/>
        <v>0</v>
      </c>
      <c r="Z313" s="519">
        <v>547334.35</v>
      </c>
      <c r="AA313" s="111">
        <f t="shared" si="65"/>
        <v>729779.1333333333</v>
      </c>
      <c r="AB313" s="111">
        <f t="shared" si="66"/>
        <v>220.86666666669771</v>
      </c>
    </row>
    <row r="314" spans="1:28" ht="25.5" customHeight="1">
      <c r="A314" s="114" t="s">
        <v>3730</v>
      </c>
      <c r="B314" s="125" t="s">
        <v>492</v>
      </c>
      <c r="C314" s="98" t="s">
        <v>2362</v>
      </c>
      <c r="D314" s="98" t="s">
        <v>3193</v>
      </c>
      <c r="E314" s="540" t="s">
        <v>5445</v>
      </c>
      <c r="F314" s="539" t="s">
        <v>5313</v>
      </c>
      <c r="G314" s="555" t="s">
        <v>347</v>
      </c>
      <c r="H314" s="555" t="s">
        <v>3726</v>
      </c>
      <c r="I314" s="556" t="s">
        <v>499</v>
      </c>
      <c r="J314" s="557" t="s">
        <v>3604</v>
      </c>
      <c r="K314" s="558" t="s">
        <v>3606</v>
      </c>
      <c r="L314" s="95"/>
      <c r="M314" s="104"/>
      <c r="N314" s="137">
        <v>0</v>
      </c>
      <c r="O314" s="138">
        <v>0</v>
      </c>
      <c r="P314" s="138">
        <v>6000</v>
      </c>
      <c r="Q314" s="138">
        <v>0</v>
      </c>
      <c r="R314" s="138">
        <v>0</v>
      </c>
      <c r="S314" s="139">
        <v>0</v>
      </c>
      <c r="T314" s="322">
        <f t="shared" si="67"/>
        <v>0</v>
      </c>
      <c r="U314" s="140" t="str">
        <f t="shared" si="68"/>
        <v/>
      </c>
      <c r="V314" s="322">
        <f t="shared" si="64"/>
        <v>0</v>
      </c>
      <c r="W314" s="140" t="str">
        <f t="shared" si="69"/>
        <v/>
      </c>
      <c r="X314" s="322">
        <f t="shared" si="70"/>
        <v>-6000</v>
      </c>
      <c r="Y314" s="140">
        <f t="shared" si="71"/>
        <v>-1</v>
      </c>
      <c r="Z314" s="519">
        <v>4000</v>
      </c>
      <c r="AA314" s="111">
        <f t="shared" si="65"/>
        <v>5333.333333333333</v>
      </c>
      <c r="AB314" s="111">
        <f t="shared" si="66"/>
        <v>666.66666666666697</v>
      </c>
    </row>
    <row r="315" spans="1:28" ht="18.75" customHeight="1">
      <c r="A315" s="115" t="s">
        <v>1417</v>
      </c>
      <c r="B315" s="124" t="s">
        <v>492</v>
      </c>
      <c r="C315" s="101" t="s">
        <v>2364</v>
      </c>
      <c r="D315" s="101" t="s">
        <v>3185</v>
      </c>
      <c r="E315" s="554" t="s">
        <v>1419</v>
      </c>
      <c r="F315" s="534" t="s">
        <v>1418</v>
      </c>
      <c r="G315" s="555"/>
      <c r="H315" s="555"/>
      <c r="I315" s="556"/>
      <c r="J315" s="557"/>
      <c r="K315" s="558"/>
      <c r="L315" s="95"/>
      <c r="M315" s="104"/>
      <c r="N315" s="137">
        <v>0</v>
      </c>
      <c r="O315" s="138">
        <v>0</v>
      </c>
      <c r="P315" s="138">
        <v>0</v>
      </c>
      <c r="Q315" s="138">
        <v>0</v>
      </c>
      <c r="R315" s="138">
        <v>0</v>
      </c>
      <c r="S315" s="139">
        <v>0</v>
      </c>
      <c r="T315" s="322">
        <f t="shared" si="67"/>
        <v>0</v>
      </c>
      <c r="U315" s="140" t="str">
        <f t="shared" si="68"/>
        <v/>
      </c>
      <c r="V315" s="322">
        <f t="shared" si="64"/>
        <v>0</v>
      </c>
      <c r="W315" s="140" t="str">
        <f t="shared" si="69"/>
        <v/>
      </c>
      <c r="X315" s="322">
        <f t="shared" si="70"/>
        <v>0</v>
      </c>
      <c r="Y315" s="140" t="str">
        <f t="shared" si="71"/>
        <v/>
      </c>
      <c r="Z315" s="519">
        <v>0</v>
      </c>
      <c r="AA315" s="111">
        <f t="shared" si="65"/>
        <v>0</v>
      </c>
      <c r="AB315" s="111">
        <f t="shared" si="66"/>
        <v>0</v>
      </c>
    </row>
    <row r="316" spans="1:28" ht="18.75" customHeight="1">
      <c r="A316" s="114" t="s">
        <v>1420</v>
      </c>
      <c r="B316" s="125" t="s">
        <v>492</v>
      </c>
      <c r="C316" s="97" t="s">
        <v>2364</v>
      </c>
      <c r="D316" s="97" t="s">
        <v>3183</v>
      </c>
      <c r="E316" s="559" t="s">
        <v>1419</v>
      </c>
      <c r="F316" s="540" t="s">
        <v>1418</v>
      </c>
      <c r="G316" s="555" t="s">
        <v>347</v>
      </c>
      <c r="H316" s="555" t="s">
        <v>3726</v>
      </c>
      <c r="I316" s="556" t="s">
        <v>499</v>
      </c>
      <c r="J316" s="557" t="s">
        <v>3604</v>
      </c>
      <c r="K316" s="558" t="s">
        <v>3606</v>
      </c>
      <c r="L316" s="95"/>
      <c r="M316" s="104"/>
      <c r="N316" s="137">
        <v>125824.94</v>
      </c>
      <c r="O316" s="138">
        <v>124000</v>
      </c>
      <c r="P316" s="138">
        <v>124000</v>
      </c>
      <c r="Q316" s="138">
        <v>124000</v>
      </c>
      <c r="R316" s="138">
        <v>124000</v>
      </c>
      <c r="S316" s="139">
        <v>124000</v>
      </c>
      <c r="T316" s="322">
        <f t="shared" si="67"/>
        <v>-1824.9400000000023</v>
      </c>
      <c r="U316" s="140">
        <f t="shared" si="68"/>
        <v>-1.4503801869486306E-2</v>
      </c>
      <c r="V316" s="322">
        <f t="shared" si="64"/>
        <v>0</v>
      </c>
      <c r="W316" s="140">
        <f t="shared" si="69"/>
        <v>0</v>
      </c>
      <c r="X316" s="322">
        <f t="shared" si="70"/>
        <v>0</v>
      </c>
      <c r="Y316" s="140">
        <f t="shared" si="71"/>
        <v>0</v>
      </c>
      <c r="Z316" s="519">
        <v>92385.27</v>
      </c>
      <c r="AA316" s="111">
        <f t="shared" si="65"/>
        <v>123180.36</v>
      </c>
      <c r="AB316" s="111">
        <f t="shared" si="66"/>
        <v>819.63999999999942</v>
      </c>
    </row>
    <row r="317" spans="1:28" ht="37.5" customHeight="1">
      <c r="A317" s="117" t="s">
        <v>4386</v>
      </c>
      <c r="B317" s="127" t="s">
        <v>492</v>
      </c>
      <c r="C317" s="99" t="s">
        <v>4387</v>
      </c>
      <c r="D317" s="99" t="s">
        <v>3185</v>
      </c>
      <c r="E317" s="534" t="s">
        <v>4388</v>
      </c>
      <c r="F317" s="534" t="s">
        <v>4389</v>
      </c>
      <c r="G317" s="511"/>
      <c r="H317" s="511"/>
      <c r="I317" s="544"/>
      <c r="J317" s="542"/>
      <c r="K317" s="543"/>
      <c r="L317" s="95"/>
      <c r="M317" s="104"/>
      <c r="N317" s="137">
        <v>0</v>
      </c>
      <c r="O317" s="138">
        <v>0</v>
      </c>
      <c r="P317" s="138">
        <v>0</v>
      </c>
      <c r="Q317" s="138">
        <v>0</v>
      </c>
      <c r="R317" s="138">
        <v>0</v>
      </c>
      <c r="S317" s="139">
        <v>0</v>
      </c>
      <c r="T317" s="322">
        <f t="shared" si="67"/>
        <v>0</v>
      </c>
      <c r="U317" s="140" t="str">
        <f t="shared" si="68"/>
        <v/>
      </c>
      <c r="V317" s="322">
        <f t="shared" si="64"/>
        <v>0</v>
      </c>
      <c r="W317" s="140" t="str">
        <f t="shared" si="69"/>
        <v/>
      </c>
      <c r="X317" s="322">
        <f t="shared" si="70"/>
        <v>0</v>
      </c>
      <c r="Y317" s="140" t="str">
        <f t="shared" si="71"/>
        <v/>
      </c>
      <c r="Z317" s="519">
        <v>0</v>
      </c>
      <c r="AA317" s="111">
        <f t="shared" si="65"/>
        <v>0</v>
      </c>
      <c r="AB317" s="111">
        <f t="shared" si="66"/>
        <v>0</v>
      </c>
    </row>
    <row r="318" spans="1:28" ht="27" customHeight="1">
      <c r="A318" s="116" t="s">
        <v>4390</v>
      </c>
      <c r="B318" s="126" t="s">
        <v>492</v>
      </c>
      <c r="C318" s="98" t="s">
        <v>4387</v>
      </c>
      <c r="D318" s="98" t="s">
        <v>3183</v>
      </c>
      <c r="E318" s="540" t="s">
        <v>4388</v>
      </c>
      <c r="F318" s="540" t="s">
        <v>4389</v>
      </c>
      <c r="G318" s="511" t="s">
        <v>343</v>
      </c>
      <c r="H318" s="511" t="s">
        <v>3604</v>
      </c>
      <c r="I318" s="544" t="s">
        <v>3765</v>
      </c>
      <c r="J318" s="542" t="s">
        <v>3604</v>
      </c>
      <c r="K318" s="543" t="s">
        <v>3606</v>
      </c>
      <c r="L318" s="95"/>
      <c r="M318" s="104"/>
      <c r="N318" s="137">
        <v>0</v>
      </c>
      <c r="O318" s="138">
        <v>0</v>
      </c>
      <c r="P318" s="138">
        <v>0</v>
      </c>
      <c r="Q318" s="138">
        <v>0</v>
      </c>
      <c r="R318" s="138">
        <v>0</v>
      </c>
      <c r="S318" s="139">
        <v>0</v>
      </c>
      <c r="T318" s="322">
        <f t="shared" si="67"/>
        <v>0</v>
      </c>
      <c r="U318" s="140" t="str">
        <f t="shared" si="68"/>
        <v/>
      </c>
      <c r="V318" s="322">
        <f t="shared" si="64"/>
        <v>0</v>
      </c>
      <c r="W318" s="140" t="str">
        <f t="shared" si="69"/>
        <v/>
      </c>
      <c r="X318" s="322">
        <f t="shared" si="70"/>
        <v>0</v>
      </c>
      <c r="Y318" s="140" t="str">
        <f t="shared" si="71"/>
        <v/>
      </c>
      <c r="Z318" s="519">
        <v>0</v>
      </c>
      <c r="AA318" s="111">
        <f t="shared" si="65"/>
        <v>0</v>
      </c>
      <c r="AB318" s="111">
        <f t="shared" si="66"/>
        <v>0</v>
      </c>
    </row>
    <row r="319" spans="1:28" ht="17.25" customHeight="1">
      <c r="A319" s="115" t="s">
        <v>1421</v>
      </c>
      <c r="B319" s="124" t="s">
        <v>492</v>
      </c>
      <c r="C319" s="101" t="s">
        <v>3189</v>
      </c>
      <c r="D319" s="101" t="s">
        <v>3185</v>
      </c>
      <c r="E319" s="554" t="s">
        <v>1423</v>
      </c>
      <c r="F319" s="534" t="s">
        <v>1422</v>
      </c>
      <c r="G319" s="555"/>
      <c r="H319" s="555"/>
      <c r="I319" s="556"/>
      <c r="J319" s="557"/>
      <c r="K319" s="558"/>
      <c r="L319" s="95"/>
      <c r="M319" s="104"/>
      <c r="N319" s="137">
        <v>0</v>
      </c>
      <c r="O319" s="138">
        <v>0</v>
      </c>
      <c r="P319" s="138">
        <v>0</v>
      </c>
      <c r="Q319" s="138">
        <v>0</v>
      </c>
      <c r="R319" s="138">
        <v>0</v>
      </c>
      <c r="S319" s="139">
        <v>0</v>
      </c>
      <c r="T319" s="322">
        <f t="shared" si="67"/>
        <v>0</v>
      </c>
      <c r="U319" s="140" t="str">
        <f t="shared" si="68"/>
        <v/>
      </c>
      <c r="V319" s="322">
        <f t="shared" si="64"/>
        <v>0</v>
      </c>
      <c r="W319" s="140" t="str">
        <f t="shared" si="69"/>
        <v/>
      </c>
      <c r="X319" s="322">
        <f t="shared" si="70"/>
        <v>0</v>
      </c>
      <c r="Y319" s="140" t="str">
        <f t="shared" si="71"/>
        <v/>
      </c>
      <c r="Z319" s="519">
        <v>0</v>
      </c>
      <c r="AA319" s="111">
        <f t="shared" si="65"/>
        <v>0</v>
      </c>
      <c r="AB319" s="111">
        <f t="shared" si="66"/>
        <v>0</v>
      </c>
    </row>
    <row r="320" spans="1:28" ht="17.25" customHeight="1">
      <c r="A320" s="114" t="s">
        <v>1424</v>
      </c>
      <c r="B320" s="125" t="s">
        <v>492</v>
      </c>
      <c r="C320" s="97" t="s">
        <v>3189</v>
      </c>
      <c r="D320" s="97" t="s">
        <v>3183</v>
      </c>
      <c r="E320" s="559" t="s">
        <v>1423</v>
      </c>
      <c r="F320" s="540" t="s">
        <v>1422</v>
      </c>
      <c r="G320" s="555" t="s">
        <v>347</v>
      </c>
      <c r="H320" s="555" t="s">
        <v>3726</v>
      </c>
      <c r="I320" s="556" t="s">
        <v>499</v>
      </c>
      <c r="J320" s="557" t="s">
        <v>3604</v>
      </c>
      <c r="K320" s="558" t="s">
        <v>3606</v>
      </c>
      <c r="L320" s="95"/>
      <c r="M320" s="104"/>
      <c r="N320" s="137">
        <v>43487</v>
      </c>
      <c r="O320" s="138">
        <v>50000</v>
      </c>
      <c r="P320" s="138">
        <v>50000</v>
      </c>
      <c r="Q320" s="138">
        <v>50000</v>
      </c>
      <c r="R320" s="138">
        <v>50000</v>
      </c>
      <c r="S320" s="139">
        <v>50000</v>
      </c>
      <c r="T320" s="322">
        <f t="shared" si="67"/>
        <v>6513</v>
      </c>
      <c r="U320" s="140">
        <f t="shared" si="68"/>
        <v>0.14976889645181318</v>
      </c>
      <c r="V320" s="322">
        <f t="shared" si="64"/>
        <v>0</v>
      </c>
      <c r="W320" s="140">
        <f t="shared" si="69"/>
        <v>0</v>
      </c>
      <c r="X320" s="322">
        <f t="shared" si="70"/>
        <v>0</v>
      </c>
      <c r="Y320" s="140">
        <f t="shared" si="71"/>
        <v>0</v>
      </c>
      <c r="Z320" s="519">
        <v>37487</v>
      </c>
      <c r="AA320" s="111">
        <f t="shared" si="65"/>
        <v>49982.666666666664</v>
      </c>
      <c r="AB320" s="111">
        <f t="shared" si="66"/>
        <v>17.333333333335759</v>
      </c>
    </row>
    <row r="321" spans="1:28" ht="47.25" customHeight="1">
      <c r="A321" s="115" t="s">
        <v>1425</v>
      </c>
      <c r="B321" s="124" t="s">
        <v>492</v>
      </c>
      <c r="C321" s="101" t="s">
        <v>3190</v>
      </c>
      <c r="D321" s="101" t="s">
        <v>3185</v>
      </c>
      <c r="E321" s="554" t="s">
        <v>4395</v>
      </c>
      <c r="F321" s="534" t="s">
        <v>4396</v>
      </c>
      <c r="G321" s="555"/>
      <c r="H321" s="555"/>
      <c r="I321" s="556"/>
      <c r="J321" s="557"/>
      <c r="K321" s="558"/>
      <c r="L321" s="95"/>
      <c r="M321" s="104"/>
      <c r="N321" s="137">
        <v>0</v>
      </c>
      <c r="O321" s="138">
        <v>0</v>
      </c>
      <c r="P321" s="138">
        <v>0</v>
      </c>
      <c r="Q321" s="138">
        <v>0</v>
      </c>
      <c r="R321" s="138">
        <v>0</v>
      </c>
      <c r="S321" s="139">
        <v>0</v>
      </c>
      <c r="T321" s="322">
        <f t="shared" si="67"/>
        <v>0</v>
      </c>
      <c r="U321" s="140" t="str">
        <f t="shared" si="68"/>
        <v/>
      </c>
      <c r="V321" s="322">
        <f t="shared" si="64"/>
        <v>0</v>
      </c>
      <c r="W321" s="140" t="str">
        <f t="shared" si="69"/>
        <v/>
      </c>
      <c r="X321" s="322">
        <f t="shared" si="70"/>
        <v>0</v>
      </c>
      <c r="Y321" s="140" t="str">
        <f t="shared" si="71"/>
        <v/>
      </c>
      <c r="Z321" s="519">
        <v>0</v>
      </c>
      <c r="AA321" s="111">
        <f t="shared" si="65"/>
        <v>0</v>
      </c>
      <c r="AB321" s="111">
        <f t="shared" si="66"/>
        <v>0</v>
      </c>
    </row>
    <row r="322" spans="1:28" ht="42">
      <c r="A322" s="114" t="s">
        <v>1426</v>
      </c>
      <c r="B322" s="125" t="s">
        <v>492</v>
      </c>
      <c r="C322" s="97" t="s">
        <v>3190</v>
      </c>
      <c r="D322" s="97" t="s">
        <v>3183</v>
      </c>
      <c r="E322" s="559" t="s">
        <v>4395</v>
      </c>
      <c r="F322" s="540" t="s">
        <v>4396</v>
      </c>
      <c r="G322" s="555" t="s">
        <v>347</v>
      </c>
      <c r="H322" s="555" t="s">
        <v>3726</v>
      </c>
      <c r="I322" s="556" t="s">
        <v>499</v>
      </c>
      <c r="J322" s="557" t="s">
        <v>3604</v>
      </c>
      <c r="K322" s="558" t="s">
        <v>3606</v>
      </c>
      <c r="L322" s="95"/>
      <c r="M322" s="104"/>
      <c r="N322" s="137">
        <v>44192.67</v>
      </c>
      <c r="O322" s="138">
        <v>61000</v>
      </c>
      <c r="P322" s="138">
        <v>61000</v>
      </c>
      <c r="Q322" s="138">
        <v>61000</v>
      </c>
      <c r="R322" s="138">
        <v>64000</v>
      </c>
      <c r="S322" s="139">
        <v>66000</v>
      </c>
      <c r="T322" s="322">
        <f t="shared" si="67"/>
        <v>16807.330000000002</v>
      </c>
      <c r="U322" s="140">
        <f t="shared" si="68"/>
        <v>0.38031940591052776</v>
      </c>
      <c r="V322" s="322">
        <f t="shared" si="64"/>
        <v>0</v>
      </c>
      <c r="W322" s="140">
        <f t="shared" si="69"/>
        <v>0</v>
      </c>
      <c r="X322" s="322">
        <f t="shared" si="70"/>
        <v>0</v>
      </c>
      <c r="Y322" s="140">
        <f t="shared" si="71"/>
        <v>0</v>
      </c>
      <c r="Z322" s="519">
        <v>46174.22</v>
      </c>
      <c r="AA322" s="111">
        <f t="shared" si="65"/>
        <v>61565.626666666671</v>
      </c>
      <c r="AB322" s="111">
        <f t="shared" si="66"/>
        <v>-565.62666666667064</v>
      </c>
    </row>
    <row r="323" spans="1:28" ht="18" customHeight="1">
      <c r="A323" s="113" t="s">
        <v>1427</v>
      </c>
      <c r="B323" s="135" t="s">
        <v>1428</v>
      </c>
      <c r="C323" s="136" t="s">
        <v>3184</v>
      </c>
      <c r="D323" s="136" t="s">
        <v>3185</v>
      </c>
      <c r="E323" s="529" t="s">
        <v>1430</v>
      </c>
      <c r="F323" s="529" t="s">
        <v>1429</v>
      </c>
      <c r="G323" s="530"/>
      <c r="H323" s="530"/>
      <c r="I323" s="531"/>
      <c r="J323" s="532"/>
      <c r="K323" s="533"/>
      <c r="L323" s="95"/>
      <c r="M323" s="147"/>
      <c r="N323" s="137">
        <v>0</v>
      </c>
      <c r="O323" s="138">
        <v>0</v>
      </c>
      <c r="P323" s="138">
        <v>0</v>
      </c>
      <c r="Q323" s="138">
        <v>0</v>
      </c>
      <c r="R323" s="138">
        <v>0</v>
      </c>
      <c r="S323" s="139">
        <v>0</v>
      </c>
      <c r="T323" s="322">
        <f t="shared" si="67"/>
        <v>0</v>
      </c>
      <c r="U323" s="140" t="str">
        <f t="shared" si="68"/>
        <v/>
      </c>
      <c r="V323" s="322">
        <f t="shared" si="64"/>
        <v>0</v>
      </c>
      <c r="W323" s="140" t="str">
        <f t="shared" si="69"/>
        <v/>
      </c>
      <c r="X323" s="322">
        <f t="shared" si="70"/>
        <v>0</v>
      </c>
      <c r="Y323" s="140" t="str">
        <f t="shared" si="71"/>
        <v/>
      </c>
      <c r="Z323" s="519">
        <v>0</v>
      </c>
      <c r="AA323" s="111">
        <f t="shared" si="65"/>
        <v>0</v>
      </c>
      <c r="AB323" s="111">
        <f t="shared" si="66"/>
        <v>0</v>
      </c>
    </row>
    <row r="324" spans="1:28" ht="18" customHeight="1">
      <c r="A324" s="115" t="s">
        <v>1431</v>
      </c>
      <c r="B324" s="124" t="s">
        <v>1428</v>
      </c>
      <c r="C324" s="101" t="s">
        <v>3186</v>
      </c>
      <c r="D324" s="101" t="s">
        <v>3185</v>
      </c>
      <c r="E324" s="554" t="s">
        <v>1433</v>
      </c>
      <c r="F324" s="534" t="s">
        <v>1432</v>
      </c>
      <c r="G324" s="555"/>
      <c r="H324" s="555"/>
      <c r="I324" s="556"/>
      <c r="J324" s="557"/>
      <c r="K324" s="558"/>
      <c r="L324" s="95"/>
      <c r="M324" s="104"/>
      <c r="N324" s="137">
        <v>0</v>
      </c>
      <c r="O324" s="138">
        <v>0</v>
      </c>
      <c r="P324" s="138">
        <v>0</v>
      </c>
      <c r="Q324" s="138">
        <v>0</v>
      </c>
      <c r="R324" s="138">
        <v>0</v>
      </c>
      <c r="S324" s="139">
        <v>0</v>
      </c>
      <c r="T324" s="322">
        <f t="shared" si="67"/>
        <v>0</v>
      </c>
      <c r="U324" s="140" t="str">
        <f t="shared" si="68"/>
        <v/>
      </c>
      <c r="V324" s="322">
        <f t="shared" si="64"/>
        <v>0</v>
      </c>
      <c r="W324" s="140" t="str">
        <f t="shared" si="69"/>
        <v/>
      </c>
      <c r="X324" s="322">
        <f t="shared" si="70"/>
        <v>0</v>
      </c>
      <c r="Y324" s="140" t="str">
        <f t="shared" si="71"/>
        <v/>
      </c>
      <c r="Z324" s="519">
        <v>0</v>
      </c>
      <c r="AA324" s="111">
        <f t="shared" si="65"/>
        <v>0</v>
      </c>
      <c r="AB324" s="111">
        <f t="shared" si="66"/>
        <v>0</v>
      </c>
    </row>
    <row r="325" spans="1:28" ht="18" customHeight="1">
      <c r="A325" s="114" t="s">
        <v>1434</v>
      </c>
      <c r="B325" s="125" t="s">
        <v>1428</v>
      </c>
      <c r="C325" s="97" t="s">
        <v>3186</v>
      </c>
      <c r="D325" s="97" t="s">
        <v>3183</v>
      </c>
      <c r="E325" s="559" t="s">
        <v>1435</v>
      </c>
      <c r="F325" s="540" t="s">
        <v>5314</v>
      </c>
      <c r="G325" s="555" t="s">
        <v>552</v>
      </c>
      <c r="H325" s="555" t="s">
        <v>3731</v>
      </c>
      <c r="I325" s="556" t="s">
        <v>3732</v>
      </c>
      <c r="J325" s="557" t="s">
        <v>2715</v>
      </c>
      <c r="K325" s="558" t="s">
        <v>1474</v>
      </c>
      <c r="L325" s="95"/>
      <c r="M325" s="104"/>
      <c r="N325" s="137">
        <v>1249683.32</v>
      </c>
      <c r="O325" s="138">
        <v>1203000</v>
      </c>
      <c r="P325" s="138">
        <v>1203000</v>
      </c>
      <c r="Q325" s="138">
        <v>1206000</v>
      </c>
      <c r="R325" s="138">
        <v>1335000</v>
      </c>
      <c r="S325" s="139">
        <v>1339000</v>
      </c>
      <c r="T325" s="322">
        <f t="shared" si="67"/>
        <v>-43683.320000000065</v>
      </c>
      <c r="U325" s="140">
        <f t="shared" si="68"/>
        <v>-3.4955511769173699E-2</v>
      </c>
      <c r="V325" s="322">
        <f t="shared" si="64"/>
        <v>3000</v>
      </c>
      <c r="W325" s="140">
        <f t="shared" si="69"/>
        <v>2.4937655860349127E-3</v>
      </c>
      <c r="X325" s="322">
        <f t="shared" si="70"/>
        <v>3000</v>
      </c>
      <c r="Y325" s="140">
        <f t="shared" si="71"/>
        <v>2.4937655860349127E-3</v>
      </c>
      <c r="Z325" s="519">
        <v>901982.83000000007</v>
      </c>
      <c r="AA325" s="111">
        <f t="shared" si="65"/>
        <v>1202643.7733333334</v>
      </c>
      <c r="AB325" s="111">
        <f t="shared" si="66"/>
        <v>356.22666666656733</v>
      </c>
    </row>
    <row r="326" spans="1:28" ht="18" customHeight="1">
      <c r="A326" s="114" t="s">
        <v>1437</v>
      </c>
      <c r="B326" s="125" t="s">
        <v>1428</v>
      </c>
      <c r="C326" s="97" t="s">
        <v>3186</v>
      </c>
      <c r="D326" s="97" t="s">
        <v>3193</v>
      </c>
      <c r="E326" s="559" t="s">
        <v>2142</v>
      </c>
      <c r="F326" s="540" t="s">
        <v>5315</v>
      </c>
      <c r="G326" s="555" t="s">
        <v>552</v>
      </c>
      <c r="H326" s="555" t="s">
        <v>3731</v>
      </c>
      <c r="I326" s="556" t="s">
        <v>3732</v>
      </c>
      <c r="J326" s="557" t="s">
        <v>2715</v>
      </c>
      <c r="K326" s="558" t="s">
        <v>1474</v>
      </c>
      <c r="L326" s="95"/>
      <c r="M326" s="104"/>
      <c r="N326" s="137">
        <v>1962681.16</v>
      </c>
      <c r="O326" s="138">
        <v>1959000</v>
      </c>
      <c r="P326" s="138">
        <v>2135000</v>
      </c>
      <c r="Q326" s="138">
        <v>2141000</v>
      </c>
      <c r="R326" s="138">
        <v>2173000</v>
      </c>
      <c r="S326" s="139">
        <v>2206000</v>
      </c>
      <c r="T326" s="322">
        <f t="shared" si="67"/>
        <v>178318.84000000008</v>
      </c>
      <c r="U326" s="140">
        <f t="shared" si="68"/>
        <v>9.0854716310620767E-2</v>
      </c>
      <c r="V326" s="322">
        <f t="shared" si="64"/>
        <v>182000</v>
      </c>
      <c r="W326" s="140">
        <f t="shared" si="69"/>
        <v>9.2904543134252171E-2</v>
      </c>
      <c r="X326" s="322">
        <f t="shared" si="70"/>
        <v>6000</v>
      </c>
      <c r="Y326" s="140">
        <f t="shared" si="71"/>
        <v>2.8103044496487119E-3</v>
      </c>
      <c r="Z326" s="519">
        <v>1600819.07</v>
      </c>
      <c r="AA326" s="111">
        <f t="shared" si="65"/>
        <v>2134425.4266666668</v>
      </c>
      <c r="AB326" s="111">
        <f t="shared" si="66"/>
        <v>574.57333333324641</v>
      </c>
    </row>
    <row r="327" spans="1:28" ht="26.25" customHeight="1">
      <c r="A327" s="115" t="s">
        <v>2143</v>
      </c>
      <c r="B327" s="124" t="s">
        <v>1428</v>
      </c>
      <c r="C327" s="101" t="s">
        <v>3187</v>
      </c>
      <c r="D327" s="101" t="s">
        <v>3185</v>
      </c>
      <c r="E327" s="554" t="s">
        <v>2145</v>
      </c>
      <c r="F327" s="534" t="s">
        <v>2144</v>
      </c>
      <c r="G327" s="555"/>
      <c r="H327" s="555"/>
      <c r="I327" s="556"/>
      <c r="J327" s="557"/>
      <c r="K327" s="558"/>
      <c r="L327" s="95"/>
      <c r="M327" s="104"/>
      <c r="N327" s="137">
        <v>0</v>
      </c>
      <c r="O327" s="138">
        <v>0</v>
      </c>
      <c r="P327" s="138">
        <v>0</v>
      </c>
      <c r="Q327" s="138">
        <v>0</v>
      </c>
      <c r="R327" s="138">
        <v>0</v>
      </c>
      <c r="S327" s="139">
        <v>0</v>
      </c>
      <c r="T327" s="322">
        <f t="shared" si="67"/>
        <v>0</v>
      </c>
      <c r="U327" s="140" t="str">
        <f t="shared" si="68"/>
        <v/>
      </c>
      <c r="V327" s="322">
        <f t="shared" si="64"/>
        <v>0</v>
      </c>
      <c r="W327" s="140" t="str">
        <f t="shared" si="69"/>
        <v/>
      </c>
      <c r="X327" s="322">
        <f t="shared" si="70"/>
        <v>0</v>
      </c>
      <c r="Y327" s="140" t="str">
        <f t="shared" si="71"/>
        <v/>
      </c>
      <c r="Z327" s="519">
        <v>0</v>
      </c>
      <c r="AA327" s="111">
        <f t="shared" si="65"/>
        <v>0</v>
      </c>
      <c r="AB327" s="111">
        <f t="shared" si="66"/>
        <v>0</v>
      </c>
    </row>
    <row r="328" spans="1:28" ht="19.5" customHeight="1">
      <c r="A328" s="114" t="s">
        <v>2146</v>
      </c>
      <c r="B328" s="125" t="s">
        <v>1428</v>
      </c>
      <c r="C328" s="97" t="s">
        <v>3187</v>
      </c>
      <c r="D328" s="97" t="s">
        <v>3183</v>
      </c>
      <c r="E328" s="559" t="s">
        <v>2145</v>
      </c>
      <c r="F328" s="540" t="s">
        <v>2144</v>
      </c>
      <c r="G328" s="555" t="s">
        <v>556</v>
      </c>
      <c r="H328" s="555" t="s">
        <v>2147</v>
      </c>
      <c r="I328" s="556" t="s">
        <v>2148</v>
      </c>
      <c r="J328" s="557" t="s">
        <v>2715</v>
      </c>
      <c r="K328" s="558" t="s">
        <v>1474</v>
      </c>
      <c r="L328" s="95"/>
      <c r="M328" s="104"/>
      <c r="N328" s="137">
        <v>2968534.0700000003</v>
      </c>
      <c r="O328" s="138">
        <v>2750000</v>
      </c>
      <c r="P328" s="138">
        <v>2950000</v>
      </c>
      <c r="Q328" s="138">
        <v>3039000</v>
      </c>
      <c r="R328" s="138">
        <v>3130000</v>
      </c>
      <c r="S328" s="139">
        <v>3224000</v>
      </c>
      <c r="T328" s="322">
        <f t="shared" si="67"/>
        <v>70465.929999999702</v>
      </c>
      <c r="U328" s="140">
        <f t="shared" si="68"/>
        <v>2.3737618749984465E-2</v>
      </c>
      <c r="V328" s="322">
        <f t="shared" si="64"/>
        <v>289000</v>
      </c>
      <c r="W328" s="140">
        <f t="shared" si="69"/>
        <v>0.1050909090909091</v>
      </c>
      <c r="X328" s="322">
        <f t="shared" si="70"/>
        <v>89000</v>
      </c>
      <c r="Y328" s="140">
        <f t="shared" si="71"/>
        <v>3.0169491525423729E-2</v>
      </c>
      <c r="Z328" s="519">
        <v>2212729.0099999998</v>
      </c>
      <c r="AA328" s="111">
        <f t="shared" si="65"/>
        <v>2950305.3466666662</v>
      </c>
      <c r="AB328" s="111">
        <f t="shared" si="66"/>
        <v>-305.34666666621342</v>
      </c>
    </row>
    <row r="329" spans="1:28" ht="26.25" customHeight="1">
      <c r="A329" s="115" t="s">
        <v>2149</v>
      </c>
      <c r="B329" s="124" t="s">
        <v>1428</v>
      </c>
      <c r="C329" s="101" t="s">
        <v>3189</v>
      </c>
      <c r="D329" s="101" t="s">
        <v>3185</v>
      </c>
      <c r="E329" s="554" t="s">
        <v>2151</v>
      </c>
      <c r="F329" s="534" t="s">
        <v>2150</v>
      </c>
      <c r="G329" s="555"/>
      <c r="H329" s="555"/>
      <c r="I329" s="556"/>
      <c r="J329" s="557"/>
      <c r="K329" s="558"/>
      <c r="L329" s="95"/>
      <c r="M329" s="104"/>
      <c r="N329" s="137">
        <v>0</v>
      </c>
      <c r="O329" s="138">
        <v>0</v>
      </c>
      <c r="P329" s="138">
        <v>0</v>
      </c>
      <c r="Q329" s="138">
        <v>0</v>
      </c>
      <c r="R329" s="138">
        <v>0</v>
      </c>
      <c r="S329" s="139">
        <v>0</v>
      </c>
      <c r="T329" s="322">
        <f t="shared" si="67"/>
        <v>0</v>
      </c>
      <c r="U329" s="140" t="str">
        <f t="shared" si="68"/>
        <v/>
      </c>
      <c r="V329" s="322">
        <f t="shared" ref="V329:V392" si="72">IF(O329="","",Q329-O329)</f>
        <v>0</v>
      </c>
      <c r="W329" s="140" t="str">
        <f t="shared" si="69"/>
        <v/>
      </c>
      <c r="X329" s="322">
        <f t="shared" si="70"/>
        <v>0</v>
      </c>
      <c r="Y329" s="140" t="str">
        <f t="shared" si="71"/>
        <v/>
      </c>
      <c r="Z329" s="519">
        <v>0</v>
      </c>
      <c r="AA329" s="111">
        <f t="shared" ref="AA329:AA392" si="73">Z329/3*4</f>
        <v>0</v>
      </c>
      <c r="AB329" s="111">
        <f t="shared" ref="AB329:AB392" si="74">P329-AA329</f>
        <v>0</v>
      </c>
    </row>
    <row r="330" spans="1:28" ht="18" customHeight="1">
      <c r="A330" s="114" t="s">
        <v>2152</v>
      </c>
      <c r="B330" s="125" t="s">
        <v>1428</v>
      </c>
      <c r="C330" s="97" t="s">
        <v>3189</v>
      </c>
      <c r="D330" s="97" t="s">
        <v>3183</v>
      </c>
      <c r="E330" s="559" t="s">
        <v>2154</v>
      </c>
      <c r="F330" s="540" t="s">
        <v>2153</v>
      </c>
      <c r="G330" s="555" t="s">
        <v>558</v>
      </c>
      <c r="H330" s="555" t="s">
        <v>3733</v>
      </c>
      <c r="I330" s="556" t="s">
        <v>2155</v>
      </c>
      <c r="J330" s="557" t="s">
        <v>2715</v>
      </c>
      <c r="K330" s="558" t="s">
        <v>1474</v>
      </c>
      <c r="L330" s="95"/>
      <c r="M330" s="104"/>
      <c r="N330" s="137">
        <v>47753.74</v>
      </c>
      <c r="O330" s="138">
        <v>71000</v>
      </c>
      <c r="P330" s="138">
        <v>90000</v>
      </c>
      <c r="Q330" s="138">
        <v>93000</v>
      </c>
      <c r="R330" s="138">
        <v>96000</v>
      </c>
      <c r="S330" s="139">
        <v>99000</v>
      </c>
      <c r="T330" s="322">
        <f t="shared" si="67"/>
        <v>45246.26</v>
      </c>
      <c r="U330" s="140">
        <f t="shared" si="68"/>
        <v>0.94749144255507534</v>
      </c>
      <c r="V330" s="322">
        <f t="shared" si="72"/>
        <v>22000</v>
      </c>
      <c r="W330" s="140">
        <f t="shared" si="69"/>
        <v>0.30985915492957744</v>
      </c>
      <c r="X330" s="322">
        <f t="shared" si="70"/>
        <v>3000</v>
      </c>
      <c r="Y330" s="140">
        <f t="shared" si="71"/>
        <v>3.3333333333333333E-2</v>
      </c>
      <c r="Z330" s="519">
        <v>67014.92</v>
      </c>
      <c r="AA330" s="111">
        <f t="shared" si="73"/>
        <v>89353.226666666669</v>
      </c>
      <c r="AB330" s="111">
        <f t="shared" si="74"/>
        <v>646.77333333333081</v>
      </c>
    </row>
    <row r="331" spans="1:28" ht="26.25" customHeight="1">
      <c r="A331" s="114" t="s">
        <v>2156</v>
      </c>
      <c r="B331" s="125" t="s">
        <v>1428</v>
      </c>
      <c r="C331" s="97" t="s">
        <v>3189</v>
      </c>
      <c r="D331" s="97" t="s">
        <v>2137</v>
      </c>
      <c r="E331" s="559" t="s">
        <v>2158</v>
      </c>
      <c r="F331" s="540" t="s">
        <v>2157</v>
      </c>
      <c r="G331" s="555" t="s">
        <v>558</v>
      </c>
      <c r="H331" s="555" t="s">
        <v>3733</v>
      </c>
      <c r="I331" s="556" t="s">
        <v>2155</v>
      </c>
      <c r="J331" s="557" t="s">
        <v>2715</v>
      </c>
      <c r="K331" s="558" t="s">
        <v>1474</v>
      </c>
      <c r="L331" s="95"/>
      <c r="M331" s="104"/>
      <c r="N331" s="137">
        <v>516332.82999999996</v>
      </c>
      <c r="O331" s="138">
        <v>556000</v>
      </c>
      <c r="P331" s="138">
        <v>556000</v>
      </c>
      <c r="Q331" s="138">
        <v>573000</v>
      </c>
      <c r="R331" s="138">
        <v>590000</v>
      </c>
      <c r="S331" s="139">
        <v>608000</v>
      </c>
      <c r="T331" s="322">
        <f t="shared" si="67"/>
        <v>56667.170000000042</v>
      </c>
      <c r="U331" s="140">
        <f t="shared" si="68"/>
        <v>0.10974930646962744</v>
      </c>
      <c r="V331" s="322">
        <f t="shared" si="72"/>
        <v>17000</v>
      </c>
      <c r="W331" s="140">
        <f t="shared" si="69"/>
        <v>3.0575539568345324E-2</v>
      </c>
      <c r="X331" s="322">
        <f t="shared" si="70"/>
        <v>17000</v>
      </c>
      <c r="Y331" s="140">
        <f t="shared" si="71"/>
        <v>3.0575539568345324E-2</v>
      </c>
      <c r="Z331" s="519">
        <v>417208.08999999997</v>
      </c>
      <c r="AA331" s="111">
        <f t="shared" si="73"/>
        <v>556277.45333333325</v>
      </c>
      <c r="AB331" s="111">
        <f t="shared" si="74"/>
        <v>-277.45333333325107</v>
      </c>
    </row>
    <row r="332" spans="1:28" ht="18" customHeight="1">
      <c r="A332" s="117" t="s">
        <v>2159</v>
      </c>
      <c r="B332" s="127" t="s">
        <v>1428</v>
      </c>
      <c r="C332" s="99" t="s">
        <v>3190</v>
      </c>
      <c r="D332" s="99" t="s">
        <v>3185</v>
      </c>
      <c r="E332" s="534" t="s">
        <v>4391</v>
      </c>
      <c r="F332" s="534" t="s">
        <v>4392</v>
      </c>
      <c r="G332" s="555"/>
      <c r="H332" s="555"/>
      <c r="I332" s="556"/>
      <c r="J332" s="557"/>
      <c r="K332" s="558"/>
      <c r="L332" s="95"/>
      <c r="M332" s="104"/>
      <c r="N332" s="137">
        <v>0</v>
      </c>
      <c r="O332" s="138">
        <v>0</v>
      </c>
      <c r="P332" s="138">
        <v>0</v>
      </c>
      <c r="Q332" s="138">
        <v>0</v>
      </c>
      <c r="R332" s="138">
        <v>0</v>
      </c>
      <c r="S332" s="139">
        <v>0</v>
      </c>
      <c r="T332" s="322">
        <f t="shared" si="67"/>
        <v>0</v>
      </c>
      <c r="U332" s="140" t="str">
        <f t="shared" si="68"/>
        <v/>
      </c>
      <c r="V332" s="322">
        <f t="shared" si="72"/>
        <v>0</v>
      </c>
      <c r="W332" s="140" t="str">
        <f t="shared" si="69"/>
        <v/>
      </c>
      <c r="X332" s="322">
        <f t="shared" si="70"/>
        <v>0</v>
      </c>
      <c r="Y332" s="140" t="str">
        <f t="shared" si="71"/>
        <v/>
      </c>
      <c r="Z332" s="519">
        <v>0</v>
      </c>
      <c r="AA332" s="111">
        <f t="shared" si="73"/>
        <v>0</v>
      </c>
      <c r="AB332" s="111">
        <f t="shared" si="74"/>
        <v>0</v>
      </c>
    </row>
    <row r="333" spans="1:28" ht="18" customHeight="1">
      <c r="A333" s="114" t="s">
        <v>2161</v>
      </c>
      <c r="B333" s="125" t="s">
        <v>1428</v>
      </c>
      <c r="C333" s="97" t="s">
        <v>3190</v>
      </c>
      <c r="D333" s="97" t="s">
        <v>3183</v>
      </c>
      <c r="E333" s="540" t="s">
        <v>2162</v>
      </c>
      <c r="F333" s="540" t="s">
        <v>2160</v>
      </c>
      <c r="G333" s="555" t="s">
        <v>558</v>
      </c>
      <c r="H333" s="555" t="s">
        <v>3733</v>
      </c>
      <c r="I333" s="556" t="s">
        <v>2155</v>
      </c>
      <c r="J333" s="557" t="s">
        <v>2715</v>
      </c>
      <c r="K333" s="558" t="s">
        <v>1474</v>
      </c>
      <c r="L333" s="95"/>
      <c r="M333" s="104"/>
      <c r="N333" s="137">
        <v>711.99</v>
      </c>
      <c r="O333" s="138">
        <v>0</v>
      </c>
      <c r="P333" s="138">
        <v>12000</v>
      </c>
      <c r="Q333" s="138">
        <v>12000</v>
      </c>
      <c r="R333" s="138">
        <v>15000</v>
      </c>
      <c r="S333" s="139">
        <v>15000</v>
      </c>
      <c r="T333" s="322">
        <f t="shared" si="67"/>
        <v>11288.01</v>
      </c>
      <c r="U333" s="140">
        <f t="shared" si="68"/>
        <v>15.85416930013062</v>
      </c>
      <c r="V333" s="322">
        <f t="shared" si="72"/>
        <v>12000</v>
      </c>
      <c r="W333" s="140" t="str">
        <f t="shared" si="69"/>
        <v/>
      </c>
      <c r="X333" s="322">
        <f t="shared" si="70"/>
        <v>0</v>
      </c>
      <c r="Y333" s="140">
        <f t="shared" si="71"/>
        <v>0</v>
      </c>
      <c r="Z333" s="519">
        <v>0</v>
      </c>
      <c r="AA333" s="111">
        <f t="shared" si="73"/>
        <v>0</v>
      </c>
      <c r="AB333" s="111">
        <f t="shared" si="74"/>
        <v>12000</v>
      </c>
    </row>
    <row r="334" spans="1:28" ht="18" customHeight="1">
      <c r="A334" s="114" t="s">
        <v>2163</v>
      </c>
      <c r="B334" s="125" t="s">
        <v>1428</v>
      </c>
      <c r="C334" s="97" t="s">
        <v>3190</v>
      </c>
      <c r="D334" s="97" t="s">
        <v>3193</v>
      </c>
      <c r="E334" s="540" t="s">
        <v>2165</v>
      </c>
      <c r="F334" s="540" t="s">
        <v>2164</v>
      </c>
      <c r="G334" s="555" t="s">
        <v>558</v>
      </c>
      <c r="H334" s="555" t="s">
        <v>3733</v>
      </c>
      <c r="I334" s="556" t="s">
        <v>2155</v>
      </c>
      <c r="J334" s="557" t="s">
        <v>2715</v>
      </c>
      <c r="K334" s="558" t="s">
        <v>1474</v>
      </c>
      <c r="L334" s="95"/>
      <c r="M334" s="104"/>
      <c r="N334" s="137">
        <v>0</v>
      </c>
      <c r="O334" s="138">
        <v>0</v>
      </c>
      <c r="P334" s="138">
        <v>0</v>
      </c>
      <c r="Q334" s="138">
        <v>0</v>
      </c>
      <c r="R334" s="138">
        <v>0</v>
      </c>
      <c r="S334" s="139">
        <v>0</v>
      </c>
      <c r="T334" s="322">
        <f t="shared" si="67"/>
        <v>0</v>
      </c>
      <c r="U334" s="140" t="str">
        <f t="shared" si="68"/>
        <v/>
      </c>
      <c r="V334" s="322">
        <f t="shared" si="72"/>
        <v>0</v>
      </c>
      <c r="W334" s="140" t="str">
        <f t="shared" si="69"/>
        <v/>
      </c>
      <c r="X334" s="322">
        <f t="shared" si="70"/>
        <v>0</v>
      </c>
      <c r="Y334" s="140" t="str">
        <f t="shared" si="71"/>
        <v/>
      </c>
      <c r="Z334" s="519">
        <v>0</v>
      </c>
      <c r="AA334" s="111">
        <f t="shared" si="73"/>
        <v>0</v>
      </c>
      <c r="AB334" s="111">
        <f t="shared" si="74"/>
        <v>0</v>
      </c>
    </row>
    <row r="335" spans="1:28" ht="18" customHeight="1">
      <c r="A335" s="115" t="s">
        <v>2166</v>
      </c>
      <c r="B335" s="124" t="s">
        <v>1428</v>
      </c>
      <c r="C335" s="101" t="s">
        <v>3191</v>
      </c>
      <c r="D335" s="101" t="s">
        <v>3185</v>
      </c>
      <c r="E335" s="554" t="s">
        <v>2168</v>
      </c>
      <c r="F335" s="534" t="s">
        <v>2167</v>
      </c>
      <c r="G335" s="555"/>
      <c r="H335" s="555"/>
      <c r="I335" s="556"/>
      <c r="J335" s="557"/>
      <c r="K335" s="558"/>
      <c r="L335" s="95"/>
      <c r="M335" s="104"/>
      <c r="N335" s="137">
        <v>0</v>
      </c>
      <c r="O335" s="138">
        <v>0</v>
      </c>
      <c r="P335" s="138">
        <v>0</v>
      </c>
      <c r="Q335" s="138">
        <v>0</v>
      </c>
      <c r="R335" s="138">
        <v>0</v>
      </c>
      <c r="S335" s="139">
        <v>0</v>
      </c>
      <c r="T335" s="322">
        <f t="shared" si="67"/>
        <v>0</v>
      </c>
      <c r="U335" s="140" t="str">
        <f t="shared" si="68"/>
        <v/>
      </c>
      <c r="V335" s="322">
        <f t="shared" si="72"/>
        <v>0</v>
      </c>
      <c r="W335" s="140" t="str">
        <f t="shared" si="69"/>
        <v/>
      </c>
      <c r="X335" s="322">
        <f t="shared" si="70"/>
        <v>0</v>
      </c>
      <c r="Y335" s="140" t="str">
        <f t="shared" si="71"/>
        <v/>
      </c>
      <c r="Z335" s="519">
        <v>0</v>
      </c>
      <c r="AA335" s="111">
        <f t="shared" si="73"/>
        <v>0</v>
      </c>
      <c r="AB335" s="111">
        <f t="shared" si="74"/>
        <v>0</v>
      </c>
    </row>
    <row r="336" spans="1:28" ht="26.25" customHeight="1">
      <c r="A336" s="114" t="s">
        <v>2169</v>
      </c>
      <c r="B336" s="125" t="s">
        <v>1428</v>
      </c>
      <c r="C336" s="97" t="s">
        <v>3191</v>
      </c>
      <c r="D336" s="97" t="s">
        <v>3183</v>
      </c>
      <c r="E336" s="559" t="s">
        <v>2171</v>
      </c>
      <c r="F336" s="540" t="s">
        <v>2170</v>
      </c>
      <c r="G336" s="555" t="s">
        <v>562</v>
      </c>
      <c r="H336" s="555" t="s">
        <v>3734</v>
      </c>
      <c r="I336" s="556" t="s">
        <v>2172</v>
      </c>
      <c r="J336" s="557" t="s">
        <v>2715</v>
      </c>
      <c r="K336" s="558" t="s">
        <v>1474</v>
      </c>
      <c r="L336" s="95"/>
      <c r="M336" s="104"/>
      <c r="N336" s="137">
        <v>0</v>
      </c>
      <c r="O336" s="138">
        <v>0</v>
      </c>
      <c r="P336" s="138">
        <v>0</v>
      </c>
      <c r="Q336" s="138">
        <v>0</v>
      </c>
      <c r="R336" s="138">
        <v>0</v>
      </c>
      <c r="S336" s="139">
        <v>0</v>
      </c>
      <c r="T336" s="322">
        <f t="shared" si="67"/>
        <v>0</v>
      </c>
      <c r="U336" s="140" t="str">
        <f t="shared" si="68"/>
        <v/>
      </c>
      <c r="V336" s="322">
        <f t="shared" si="72"/>
        <v>0</v>
      </c>
      <c r="W336" s="140" t="str">
        <f t="shared" si="69"/>
        <v/>
      </c>
      <c r="X336" s="322">
        <f t="shared" si="70"/>
        <v>0</v>
      </c>
      <c r="Y336" s="140" t="str">
        <f t="shared" si="71"/>
        <v/>
      </c>
      <c r="Z336" s="519">
        <v>0</v>
      </c>
      <c r="AA336" s="111">
        <f t="shared" si="73"/>
        <v>0</v>
      </c>
      <c r="AB336" s="111">
        <f t="shared" si="74"/>
        <v>0</v>
      </c>
    </row>
    <row r="337" spans="1:28" ht="26.25" customHeight="1">
      <c r="A337" s="114" t="s">
        <v>2173</v>
      </c>
      <c r="B337" s="125" t="s">
        <v>1428</v>
      </c>
      <c r="C337" s="97" t="s">
        <v>3191</v>
      </c>
      <c r="D337" s="97" t="s">
        <v>3193</v>
      </c>
      <c r="E337" s="559" t="s">
        <v>2693</v>
      </c>
      <c r="F337" s="540" t="s">
        <v>2174</v>
      </c>
      <c r="G337" s="555" t="s">
        <v>564</v>
      </c>
      <c r="H337" s="555" t="s">
        <v>3735</v>
      </c>
      <c r="I337" s="556" t="s">
        <v>2694</v>
      </c>
      <c r="J337" s="557" t="s">
        <v>2715</v>
      </c>
      <c r="K337" s="558" t="s">
        <v>1474</v>
      </c>
      <c r="L337" s="95"/>
      <c r="M337" s="104"/>
      <c r="N337" s="137">
        <v>0</v>
      </c>
      <c r="O337" s="138">
        <v>0</v>
      </c>
      <c r="P337" s="138">
        <v>0</v>
      </c>
      <c r="Q337" s="138">
        <v>0</v>
      </c>
      <c r="R337" s="138">
        <v>0</v>
      </c>
      <c r="S337" s="139">
        <v>0</v>
      </c>
      <c r="T337" s="322">
        <f t="shared" si="67"/>
        <v>0</v>
      </c>
      <c r="U337" s="140" t="str">
        <f t="shared" si="68"/>
        <v/>
      </c>
      <c r="V337" s="322">
        <f t="shared" si="72"/>
        <v>0</v>
      </c>
      <c r="W337" s="140" t="str">
        <f t="shared" si="69"/>
        <v/>
      </c>
      <c r="X337" s="322">
        <f t="shared" si="70"/>
        <v>0</v>
      </c>
      <c r="Y337" s="140" t="str">
        <f t="shared" si="71"/>
        <v/>
      </c>
      <c r="Z337" s="519">
        <v>0</v>
      </c>
      <c r="AA337" s="111">
        <f t="shared" si="73"/>
        <v>0</v>
      </c>
      <c r="AB337" s="111">
        <f t="shared" si="74"/>
        <v>0</v>
      </c>
    </row>
    <row r="338" spans="1:28" ht="18" customHeight="1">
      <c r="A338" s="114" t="s">
        <v>2695</v>
      </c>
      <c r="B338" s="125" t="s">
        <v>1428</v>
      </c>
      <c r="C338" s="97" t="s">
        <v>3191</v>
      </c>
      <c r="D338" s="97" t="s">
        <v>2631</v>
      </c>
      <c r="E338" s="559" t="s">
        <v>2697</v>
      </c>
      <c r="F338" s="540" t="s">
        <v>2696</v>
      </c>
      <c r="G338" s="555" t="s">
        <v>564</v>
      </c>
      <c r="H338" s="555" t="s">
        <v>3735</v>
      </c>
      <c r="I338" s="556" t="s">
        <v>2694</v>
      </c>
      <c r="J338" s="557" t="s">
        <v>2715</v>
      </c>
      <c r="K338" s="558" t="s">
        <v>1474</v>
      </c>
      <c r="L338" s="95"/>
      <c r="M338" s="104"/>
      <c r="N338" s="137">
        <v>0</v>
      </c>
      <c r="O338" s="138">
        <v>0</v>
      </c>
      <c r="P338" s="138">
        <v>0</v>
      </c>
      <c r="Q338" s="138">
        <v>0</v>
      </c>
      <c r="R338" s="138">
        <v>0</v>
      </c>
      <c r="S338" s="139">
        <v>0</v>
      </c>
      <c r="T338" s="322">
        <f t="shared" si="67"/>
        <v>0</v>
      </c>
      <c r="U338" s="140" t="str">
        <f t="shared" si="68"/>
        <v/>
      </c>
      <c r="V338" s="322">
        <f t="shared" si="72"/>
        <v>0</v>
      </c>
      <c r="W338" s="140" t="str">
        <f t="shared" si="69"/>
        <v/>
      </c>
      <c r="X338" s="322">
        <f t="shared" si="70"/>
        <v>0</v>
      </c>
      <c r="Y338" s="140" t="str">
        <f t="shared" si="71"/>
        <v/>
      </c>
      <c r="Z338" s="519">
        <v>0</v>
      </c>
      <c r="AA338" s="111">
        <f t="shared" si="73"/>
        <v>0</v>
      </c>
      <c r="AB338" s="111">
        <f t="shared" si="74"/>
        <v>0</v>
      </c>
    </row>
    <row r="339" spans="1:28" ht="18" customHeight="1">
      <c r="A339" s="114" t="s">
        <v>2698</v>
      </c>
      <c r="B339" s="125" t="s">
        <v>1428</v>
      </c>
      <c r="C339" s="97" t="s">
        <v>3191</v>
      </c>
      <c r="D339" s="97" t="s">
        <v>1404</v>
      </c>
      <c r="E339" s="540" t="s">
        <v>2700</v>
      </c>
      <c r="F339" s="540" t="s">
        <v>2699</v>
      </c>
      <c r="G339" s="555" t="s">
        <v>564</v>
      </c>
      <c r="H339" s="555" t="s">
        <v>3735</v>
      </c>
      <c r="I339" s="556" t="s">
        <v>2694</v>
      </c>
      <c r="J339" s="557" t="s">
        <v>2715</v>
      </c>
      <c r="K339" s="558" t="s">
        <v>1474</v>
      </c>
      <c r="L339" s="95"/>
      <c r="M339" s="104"/>
      <c r="N339" s="137">
        <v>0</v>
      </c>
      <c r="O339" s="138">
        <v>0</v>
      </c>
      <c r="P339" s="138">
        <v>0</v>
      </c>
      <c r="Q339" s="138">
        <v>0</v>
      </c>
      <c r="R339" s="138">
        <v>0</v>
      </c>
      <c r="S339" s="139">
        <v>0</v>
      </c>
      <c r="T339" s="322">
        <f t="shared" si="67"/>
        <v>0</v>
      </c>
      <c r="U339" s="140" t="str">
        <f t="shared" si="68"/>
        <v/>
      </c>
      <c r="V339" s="322">
        <f t="shared" si="72"/>
        <v>0</v>
      </c>
      <c r="W339" s="140" t="str">
        <f t="shared" si="69"/>
        <v/>
      </c>
      <c r="X339" s="322">
        <f t="shared" si="70"/>
        <v>0</v>
      </c>
      <c r="Y339" s="140" t="str">
        <f t="shared" si="71"/>
        <v/>
      </c>
      <c r="Z339" s="519">
        <v>0</v>
      </c>
      <c r="AA339" s="111">
        <f t="shared" si="73"/>
        <v>0</v>
      </c>
      <c r="AB339" s="111">
        <f t="shared" si="74"/>
        <v>0</v>
      </c>
    </row>
    <row r="340" spans="1:28" ht="26.25" customHeight="1">
      <c r="A340" s="115" t="s">
        <v>4991</v>
      </c>
      <c r="B340" s="308" t="s">
        <v>1428</v>
      </c>
      <c r="C340" s="307" t="s">
        <v>3194</v>
      </c>
      <c r="D340" s="307" t="s">
        <v>3185</v>
      </c>
      <c r="E340" s="560" t="s">
        <v>4992</v>
      </c>
      <c r="F340" s="560" t="s">
        <v>4993</v>
      </c>
      <c r="G340" s="548"/>
      <c r="H340" s="548"/>
      <c r="I340" s="549"/>
      <c r="J340" s="550"/>
      <c r="K340" s="551"/>
      <c r="L340" s="95"/>
      <c r="M340" s="104"/>
      <c r="N340" s="137">
        <v>0</v>
      </c>
      <c r="O340" s="138">
        <v>0</v>
      </c>
      <c r="P340" s="138">
        <v>0</v>
      </c>
      <c r="Q340" s="138">
        <v>0</v>
      </c>
      <c r="R340" s="138">
        <v>0</v>
      </c>
      <c r="S340" s="139">
        <v>0</v>
      </c>
      <c r="T340" s="322">
        <f t="shared" ref="T340:T341" si="75">IF(N340="","",Q340-N340)</f>
        <v>0</v>
      </c>
      <c r="U340" s="140" t="str">
        <f t="shared" ref="U340:U341" si="76">IF(N340=0,"",T340/N340)</f>
        <v/>
      </c>
      <c r="V340" s="322">
        <f t="shared" si="72"/>
        <v>0</v>
      </c>
      <c r="W340" s="140" t="str">
        <f t="shared" ref="W340:W341" si="77">IF(O340=0,"",V340/O340)</f>
        <v/>
      </c>
      <c r="X340" s="322">
        <f t="shared" ref="X340:X341" si="78">IF(P340="","",Q340-P340)</f>
        <v>0</v>
      </c>
      <c r="Y340" s="140" t="str">
        <f t="shared" ref="Y340:Y341" si="79">IF(P340=0,"",X340/P340)</f>
        <v/>
      </c>
      <c r="Z340" s="519">
        <v>0</v>
      </c>
      <c r="AA340" s="111">
        <f t="shared" si="73"/>
        <v>0</v>
      </c>
      <c r="AB340" s="111">
        <f t="shared" si="74"/>
        <v>0</v>
      </c>
    </row>
    <row r="341" spans="1:28" ht="26.25" customHeight="1">
      <c r="A341" s="114" t="s">
        <v>4994</v>
      </c>
      <c r="B341" s="305" t="s">
        <v>1428</v>
      </c>
      <c r="C341" s="306" t="s">
        <v>3194</v>
      </c>
      <c r="D341" s="306" t="s">
        <v>3183</v>
      </c>
      <c r="E341" s="561" t="s">
        <v>4992</v>
      </c>
      <c r="F341" s="561" t="s">
        <v>4993</v>
      </c>
      <c r="G341" s="548" t="s">
        <v>4814</v>
      </c>
      <c r="H341" s="548" t="s">
        <v>4995</v>
      </c>
      <c r="I341" s="549" t="s">
        <v>4996</v>
      </c>
      <c r="J341" s="550" t="s">
        <v>2715</v>
      </c>
      <c r="K341" s="551" t="s">
        <v>1474</v>
      </c>
      <c r="L341" s="95"/>
      <c r="M341" s="104"/>
      <c r="N341" s="137">
        <v>0</v>
      </c>
      <c r="O341" s="138">
        <v>0</v>
      </c>
      <c r="P341" s="138">
        <v>0</v>
      </c>
      <c r="Q341" s="138">
        <v>0</v>
      </c>
      <c r="R341" s="138">
        <v>0</v>
      </c>
      <c r="S341" s="139">
        <v>0</v>
      </c>
      <c r="T341" s="322">
        <f t="shared" si="75"/>
        <v>0</v>
      </c>
      <c r="U341" s="140" t="str">
        <f t="shared" si="76"/>
        <v/>
      </c>
      <c r="V341" s="322">
        <f t="shared" si="72"/>
        <v>0</v>
      </c>
      <c r="W341" s="140" t="str">
        <f t="shared" si="77"/>
        <v/>
      </c>
      <c r="X341" s="322">
        <f t="shared" si="78"/>
        <v>0</v>
      </c>
      <c r="Y341" s="140" t="str">
        <f t="shared" si="79"/>
        <v/>
      </c>
      <c r="Z341" s="519">
        <v>0</v>
      </c>
      <c r="AA341" s="111">
        <f t="shared" si="73"/>
        <v>0</v>
      </c>
      <c r="AB341" s="111">
        <f t="shared" si="74"/>
        <v>0</v>
      </c>
    </row>
    <row r="342" spans="1:28" ht="26.25" customHeight="1">
      <c r="A342" s="115" t="s">
        <v>2701</v>
      </c>
      <c r="B342" s="124" t="s">
        <v>1428</v>
      </c>
      <c r="C342" s="101" t="s">
        <v>2139</v>
      </c>
      <c r="D342" s="101" t="s">
        <v>3185</v>
      </c>
      <c r="E342" s="554" t="s">
        <v>2703</v>
      </c>
      <c r="F342" s="534" t="s">
        <v>2702</v>
      </c>
      <c r="G342" s="555"/>
      <c r="H342" s="555"/>
      <c r="I342" s="556"/>
      <c r="J342" s="557"/>
      <c r="K342" s="558"/>
      <c r="L342" s="95"/>
      <c r="M342" s="104"/>
      <c r="N342" s="137">
        <v>0</v>
      </c>
      <c r="O342" s="138">
        <v>0</v>
      </c>
      <c r="P342" s="138">
        <v>0</v>
      </c>
      <c r="Q342" s="138">
        <v>0</v>
      </c>
      <c r="R342" s="138">
        <v>0</v>
      </c>
      <c r="S342" s="139">
        <v>0</v>
      </c>
      <c r="T342" s="322">
        <f t="shared" si="67"/>
        <v>0</v>
      </c>
      <c r="U342" s="140" t="str">
        <f t="shared" si="68"/>
        <v/>
      </c>
      <c r="V342" s="322">
        <f t="shared" si="72"/>
        <v>0</v>
      </c>
      <c r="W342" s="140" t="str">
        <f t="shared" si="69"/>
        <v/>
      </c>
      <c r="X342" s="322">
        <f t="shared" si="70"/>
        <v>0</v>
      </c>
      <c r="Y342" s="140" t="str">
        <f t="shared" si="71"/>
        <v/>
      </c>
      <c r="Z342" s="519">
        <v>0</v>
      </c>
      <c r="AA342" s="111">
        <f t="shared" si="73"/>
        <v>0</v>
      </c>
      <c r="AB342" s="111">
        <f t="shared" si="74"/>
        <v>0</v>
      </c>
    </row>
    <row r="343" spans="1:28" ht="26.25" customHeight="1">
      <c r="A343" s="114" t="s">
        <v>2704</v>
      </c>
      <c r="B343" s="125" t="s">
        <v>1428</v>
      </c>
      <c r="C343" s="97" t="s">
        <v>2139</v>
      </c>
      <c r="D343" s="97" t="s">
        <v>3183</v>
      </c>
      <c r="E343" s="559" t="s">
        <v>2703</v>
      </c>
      <c r="F343" s="540" t="s">
        <v>2702</v>
      </c>
      <c r="G343" s="555" t="s">
        <v>558</v>
      </c>
      <c r="H343" s="555" t="s">
        <v>3733</v>
      </c>
      <c r="I343" s="556" t="s">
        <v>2155</v>
      </c>
      <c r="J343" s="557" t="s">
        <v>2715</v>
      </c>
      <c r="K343" s="558" t="s">
        <v>1474</v>
      </c>
      <c r="L343" s="95"/>
      <c r="M343" s="104"/>
      <c r="N343" s="137">
        <v>2592629.0499999998</v>
      </c>
      <c r="O343" s="138">
        <v>2844300</v>
      </c>
      <c r="P343" s="138">
        <v>2198000</v>
      </c>
      <c r="Q343" s="138">
        <v>2960000</v>
      </c>
      <c r="R343" s="138">
        <v>2624000</v>
      </c>
      <c r="S343" s="139">
        <v>2624000</v>
      </c>
      <c r="T343" s="322">
        <f t="shared" si="67"/>
        <v>367370.95000000019</v>
      </c>
      <c r="U343" s="140">
        <f t="shared" si="68"/>
        <v>0.14169823099066187</v>
      </c>
      <c r="V343" s="322">
        <f t="shared" si="72"/>
        <v>115700</v>
      </c>
      <c r="W343" s="140">
        <f t="shared" si="69"/>
        <v>4.0677846921914E-2</v>
      </c>
      <c r="X343" s="322">
        <f t="shared" si="70"/>
        <v>762000</v>
      </c>
      <c r="Y343" s="140">
        <f t="shared" si="71"/>
        <v>0.34667879890809827</v>
      </c>
      <c r="Z343" s="519">
        <v>1648860.0100000002</v>
      </c>
      <c r="AA343" s="111">
        <f t="shared" si="73"/>
        <v>2198480.0133333337</v>
      </c>
      <c r="AB343" s="111">
        <f t="shared" si="74"/>
        <v>-480.01333333365619</v>
      </c>
    </row>
    <row r="344" spans="1:28" ht="19.5" customHeight="1">
      <c r="A344" s="113" t="s">
        <v>2705</v>
      </c>
      <c r="B344" s="135" t="s">
        <v>2706</v>
      </c>
      <c r="C344" s="136" t="s">
        <v>3184</v>
      </c>
      <c r="D344" s="136" t="s">
        <v>3185</v>
      </c>
      <c r="E344" s="529" t="s">
        <v>2708</v>
      </c>
      <c r="F344" s="529" t="s">
        <v>2707</v>
      </c>
      <c r="G344" s="530"/>
      <c r="H344" s="530"/>
      <c r="I344" s="531"/>
      <c r="J344" s="532"/>
      <c r="K344" s="533"/>
      <c r="L344" s="95"/>
      <c r="M344" s="147"/>
      <c r="N344" s="137">
        <v>0</v>
      </c>
      <c r="O344" s="138">
        <v>0</v>
      </c>
      <c r="P344" s="138">
        <v>0</v>
      </c>
      <c r="Q344" s="138">
        <v>0</v>
      </c>
      <c r="R344" s="138">
        <v>0</v>
      </c>
      <c r="S344" s="139">
        <v>0</v>
      </c>
      <c r="T344" s="322">
        <f t="shared" si="67"/>
        <v>0</v>
      </c>
      <c r="U344" s="140" t="str">
        <f t="shared" si="68"/>
        <v/>
      </c>
      <c r="V344" s="322">
        <f t="shared" si="72"/>
        <v>0</v>
      </c>
      <c r="W344" s="140" t="str">
        <f t="shared" si="69"/>
        <v/>
      </c>
      <c r="X344" s="322">
        <f t="shared" si="70"/>
        <v>0</v>
      </c>
      <c r="Y344" s="140" t="str">
        <f t="shared" si="71"/>
        <v/>
      </c>
      <c r="Z344" s="519">
        <v>0</v>
      </c>
      <c r="AA344" s="111">
        <f t="shared" si="73"/>
        <v>0</v>
      </c>
      <c r="AB344" s="111">
        <f t="shared" si="74"/>
        <v>0</v>
      </c>
    </row>
    <row r="345" spans="1:28" ht="19.5" customHeight="1">
      <c r="A345" s="115" t="s">
        <v>2709</v>
      </c>
      <c r="B345" s="124" t="s">
        <v>2706</v>
      </c>
      <c r="C345" s="101" t="s">
        <v>3186</v>
      </c>
      <c r="D345" s="101" t="s">
        <v>3185</v>
      </c>
      <c r="E345" s="554" t="s">
        <v>2708</v>
      </c>
      <c r="F345" s="534" t="s">
        <v>2707</v>
      </c>
      <c r="G345" s="555"/>
      <c r="H345" s="555"/>
      <c r="I345" s="556"/>
      <c r="J345" s="557"/>
      <c r="K345" s="558"/>
      <c r="L345" s="95"/>
      <c r="M345" s="104"/>
      <c r="N345" s="137">
        <v>0</v>
      </c>
      <c r="O345" s="138">
        <v>0</v>
      </c>
      <c r="P345" s="138">
        <v>0</v>
      </c>
      <c r="Q345" s="138">
        <v>0</v>
      </c>
      <c r="R345" s="138">
        <v>0</v>
      </c>
      <c r="S345" s="139">
        <v>0</v>
      </c>
      <c r="T345" s="322">
        <f t="shared" si="67"/>
        <v>0</v>
      </c>
      <c r="U345" s="140" t="str">
        <f t="shared" si="68"/>
        <v/>
      </c>
      <c r="V345" s="322">
        <f t="shared" si="72"/>
        <v>0</v>
      </c>
      <c r="W345" s="140" t="str">
        <f t="shared" si="69"/>
        <v/>
      </c>
      <c r="X345" s="322">
        <f t="shared" si="70"/>
        <v>0</v>
      </c>
      <c r="Y345" s="140" t="str">
        <f t="shared" si="71"/>
        <v/>
      </c>
      <c r="Z345" s="519">
        <v>0</v>
      </c>
      <c r="AA345" s="111">
        <f t="shared" si="73"/>
        <v>0</v>
      </c>
      <c r="AB345" s="111">
        <f t="shared" si="74"/>
        <v>0</v>
      </c>
    </row>
    <row r="346" spans="1:28" ht="19.5" customHeight="1">
      <c r="A346" s="114" t="s">
        <v>2710</v>
      </c>
      <c r="B346" s="125" t="s">
        <v>2706</v>
      </c>
      <c r="C346" s="97" t="s">
        <v>3186</v>
      </c>
      <c r="D346" s="97" t="s">
        <v>3183</v>
      </c>
      <c r="E346" s="559" t="s">
        <v>2712</v>
      </c>
      <c r="F346" s="540" t="s">
        <v>2711</v>
      </c>
      <c r="G346" s="555" t="s">
        <v>1195</v>
      </c>
      <c r="H346" s="555" t="s">
        <v>3736</v>
      </c>
      <c r="I346" s="556" t="s">
        <v>2713</v>
      </c>
      <c r="J346" s="557" t="s">
        <v>196</v>
      </c>
      <c r="K346" s="558" t="s">
        <v>2890</v>
      </c>
      <c r="L346" s="95"/>
      <c r="M346" s="104"/>
      <c r="N346" s="137">
        <v>1339438.03</v>
      </c>
      <c r="O346" s="138">
        <v>1360000</v>
      </c>
      <c r="P346" s="138">
        <v>1351000</v>
      </c>
      <c r="Q346" s="138">
        <v>1423000</v>
      </c>
      <c r="R346" s="138">
        <v>1423000</v>
      </c>
      <c r="S346" s="139">
        <v>1423000</v>
      </c>
      <c r="T346" s="322">
        <f t="shared" si="67"/>
        <v>83561.969999999972</v>
      </c>
      <c r="U346" s="140">
        <f t="shared" si="68"/>
        <v>6.2385842516357377E-2</v>
      </c>
      <c r="V346" s="322">
        <f t="shared" si="72"/>
        <v>63000</v>
      </c>
      <c r="W346" s="140">
        <f t="shared" si="69"/>
        <v>4.6323529411764708E-2</v>
      </c>
      <c r="X346" s="322">
        <f t="shared" si="70"/>
        <v>72000</v>
      </c>
      <c r="Y346" s="140">
        <f t="shared" si="71"/>
        <v>5.3293856402664694E-2</v>
      </c>
      <c r="Z346" s="519">
        <v>1012780.6</v>
      </c>
      <c r="AA346" s="111">
        <f t="shared" si="73"/>
        <v>1350374.1333333333</v>
      </c>
      <c r="AB346" s="111">
        <f t="shared" si="74"/>
        <v>625.86666666669771</v>
      </c>
    </row>
    <row r="347" spans="1:28" ht="19.5" customHeight="1">
      <c r="A347" s="114" t="s">
        <v>2716</v>
      </c>
      <c r="B347" s="125" t="s">
        <v>2706</v>
      </c>
      <c r="C347" s="97" t="s">
        <v>3186</v>
      </c>
      <c r="D347" s="97" t="s">
        <v>3193</v>
      </c>
      <c r="E347" s="559" t="s">
        <v>2718</v>
      </c>
      <c r="F347" s="540" t="s">
        <v>2717</v>
      </c>
      <c r="G347" s="555" t="s">
        <v>1195</v>
      </c>
      <c r="H347" s="555" t="s">
        <v>3736</v>
      </c>
      <c r="I347" s="556" t="s">
        <v>2713</v>
      </c>
      <c r="J347" s="557" t="s">
        <v>196</v>
      </c>
      <c r="K347" s="558" t="s">
        <v>2890</v>
      </c>
      <c r="L347" s="95"/>
      <c r="M347" s="104"/>
      <c r="N347" s="137">
        <v>24059.05</v>
      </c>
      <c r="O347" s="138">
        <v>27000</v>
      </c>
      <c r="P347" s="138">
        <v>27000</v>
      </c>
      <c r="Q347" s="138">
        <v>27000</v>
      </c>
      <c r="R347" s="138">
        <v>27000</v>
      </c>
      <c r="S347" s="139">
        <v>27000</v>
      </c>
      <c r="T347" s="322">
        <f t="shared" si="67"/>
        <v>2940.9500000000007</v>
      </c>
      <c r="U347" s="140">
        <f t="shared" si="68"/>
        <v>0.12223882489125718</v>
      </c>
      <c r="V347" s="322">
        <f t="shared" si="72"/>
        <v>0</v>
      </c>
      <c r="W347" s="140">
        <f t="shared" si="69"/>
        <v>0</v>
      </c>
      <c r="X347" s="322">
        <f t="shared" si="70"/>
        <v>0</v>
      </c>
      <c r="Y347" s="140">
        <f t="shared" si="71"/>
        <v>0</v>
      </c>
      <c r="Z347" s="519">
        <v>20051.629999999997</v>
      </c>
      <c r="AA347" s="111">
        <f t="shared" si="73"/>
        <v>26735.506666666664</v>
      </c>
      <c r="AB347" s="111">
        <f t="shared" si="74"/>
        <v>264.49333333333561</v>
      </c>
    </row>
    <row r="348" spans="1:28" ht="19.5" customHeight="1">
      <c r="A348" s="114" t="s">
        <v>2719</v>
      </c>
      <c r="B348" s="125" t="s">
        <v>2706</v>
      </c>
      <c r="C348" s="97" t="s">
        <v>3186</v>
      </c>
      <c r="D348" s="97" t="s">
        <v>2631</v>
      </c>
      <c r="E348" s="559" t="s">
        <v>2721</v>
      </c>
      <c r="F348" s="540" t="s">
        <v>2720</v>
      </c>
      <c r="G348" s="555" t="s">
        <v>1195</v>
      </c>
      <c r="H348" s="555" t="s">
        <v>3736</v>
      </c>
      <c r="I348" s="556" t="s">
        <v>2713</v>
      </c>
      <c r="J348" s="557" t="s">
        <v>196</v>
      </c>
      <c r="K348" s="558" t="s">
        <v>2890</v>
      </c>
      <c r="L348" s="95"/>
      <c r="M348" s="104"/>
      <c r="N348" s="137">
        <v>330760.68</v>
      </c>
      <c r="O348" s="138">
        <v>293000</v>
      </c>
      <c r="P348" s="138">
        <v>230000</v>
      </c>
      <c r="Q348" s="138">
        <v>230000</v>
      </c>
      <c r="R348" s="138">
        <v>230000</v>
      </c>
      <c r="S348" s="139">
        <v>230000</v>
      </c>
      <c r="T348" s="322">
        <f t="shared" ref="T348:T412" si="80">IF(N348="","",Q348-N348)</f>
        <v>-100760.68</v>
      </c>
      <c r="U348" s="140">
        <f t="shared" ref="U348:U412" si="81">IF(N348=0,"",T348/N348)</f>
        <v>-0.30463318675000911</v>
      </c>
      <c r="V348" s="322">
        <f t="shared" si="72"/>
        <v>-63000</v>
      </c>
      <c r="W348" s="140">
        <f t="shared" ref="W348:W412" si="82">IF(O348=0,"",V348/O348)</f>
        <v>-0.21501706484641639</v>
      </c>
      <c r="X348" s="322">
        <f t="shared" ref="X348:X412" si="83">IF(P348="","",Q348-P348)</f>
        <v>0</v>
      </c>
      <c r="Y348" s="140">
        <f t="shared" ref="Y348:Y412" si="84">IF(P348=0,"",X348/P348)</f>
        <v>0</v>
      </c>
      <c r="Z348" s="519">
        <v>172803.61</v>
      </c>
      <c r="AA348" s="111">
        <f t="shared" si="73"/>
        <v>230404.81333333332</v>
      </c>
      <c r="AB348" s="111">
        <f t="shared" si="74"/>
        <v>-404.81333333332441</v>
      </c>
    </row>
    <row r="349" spans="1:28" ht="36.75" customHeight="1">
      <c r="A349" s="115" t="s">
        <v>2722</v>
      </c>
      <c r="B349" s="124" t="s">
        <v>2706</v>
      </c>
      <c r="C349" s="101" t="s">
        <v>3187</v>
      </c>
      <c r="D349" s="101" t="s">
        <v>3185</v>
      </c>
      <c r="E349" s="554" t="s">
        <v>2723</v>
      </c>
      <c r="F349" s="534" t="s">
        <v>4393</v>
      </c>
      <c r="G349" s="555"/>
      <c r="H349" s="555"/>
      <c r="I349" s="556"/>
      <c r="J349" s="557"/>
      <c r="K349" s="558"/>
      <c r="L349" s="95"/>
      <c r="M349" s="104"/>
      <c r="N349" s="137">
        <v>0</v>
      </c>
      <c r="O349" s="138">
        <v>0</v>
      </c>
      <c r="P349" s="138">
        <v>0</v>
      </c>
      <c r="Q349" s="138">
        <v>0</v>
      </c>
      <c r="R349" s="138">
        <v>0</v>
      </c>
      <c r="S349" s="139">
        <v>0</v>
      </c>
      <c r="T349" s="322">
        <f t="shared" si="80"/>
        <v>0</v>
      </c>
      <c r="U349" s="140" t="str">
        <f t="shared" si="81"/>
        <v/>
      </c>
      <c r="V349" s="322">
        <f t="shared" si="72"/>
        <v>0</v>
      </c>
      <c r="W349" s="140" t="str">
        <f t="shared" si="82"/>
        <v/>
      </c>
      <c r="X349" s="322">
        <f t="shared" si="83"/>
        <v>0</v>
      </c>
      <c r="Y349" s="140" t="str">
        <f t="shared" si="84"/>
        <v/>
      </c>
      <c r="Z349" s="519">
        <v>0</v>
      </c>
      <c r="AA349" s="111">
        <f t="shared" si="73"/>
        <v>0</v>
      </c>
      <c r="AB349" s="111">
        <f t="shared" si="74"/>
        <v>0</v>
      </c>
    </row>
    <row r="350" spans="1:28" ht="26.25" customHeight="1">
      <c r="A350" s="114" t="s">
        <v>2724</v>
      </c>
      <c r="B350" s="125" t="s">
        <v>2706</v>
      </c>
      <c r="C350" s="97" t="s">
        <v>3187</v>
      </c>
      <c r="D350" s="97" t="s">
        <v>3183</v>
      </c>
      <c r="E350" s="559" t="s">
        <v>2723</v>
      </c>
      <c r="F350" s="540" t="s">
        <v>4393</v>
      </c>
      <c r="G350" s="555" t="s">
        <v>811</v>
      </c>
      <c r="H350" s="512" t="s">
        <v>4997</v>
      </c>
      <c r="I350" s="556" t="s">
        <v>2725</v>
      </c>
      <c r="J350" s="557" t="s">
        <v>2909</v>
      </c>
      <c r="K350" s="558" t="s">
        <v>2725</v>
      </c>
      <c r="L350" s="95"/>
      <c r="M350" s="104"/>
      <c r="N350" s="137">
        <v>150000</v>
      </c>
      <c r="O350" s="138">
        <v>270000</v>
      </c>
      <c r="P350" s="138">
        <v>204000</v>
      </c>
      <c r="Q350" s="138">
        <v>204000</v>
      </c>
      <c r="R350" s="138">
        <v>204000</v>
      </c>
      <c r="S350" s="139">
        <v>204000</v>
      </c>
      <c r="T350" s="322">
        <f t="shared" si="80"/>
        <v>54000</v>
      </c>
      <c r="U350" s="140">
        <f t="shared" si="81"/>
        <v>0.36</v>
      </c>
      <c r="V350" s="322">
        <f t="shared" si="72"/>
        <v>-66000</v>
      </c>
      <c r="W350" s="140">
        <f t="shared" si="82"/>
        <v>-0.24444444444444444</v>
      </c>
      <c r="X350" s="322">
        <f t="shared" si="83"/>
        <v>0</v>
      </c>
      <c r="Y350" s="140">
        <f t="shared" si="84"/>
        <v>0</v>
      </c>
      <c r="Z350" s="519">
        <v>153000</v>
      </c>
      <c r="AA350" s="111">
        <f t="shared" si="73"/>
        <v>204000</v>
      </c>
      <c r="AB350" s="111">
        <f t="shared" si="74"/>
        <v>0</v>
      </c>
    </row>
    <row r="351" spans="1:28" ht="26.25" customHeight="1">
      <c r="A351" s="113" t="s">
        <v>2726</v>
      </c>
      <c r="B351" s="135" t="s">
        <v>1263</v>
      </c>
      <c r="C351" s="136" t="s">
        <v>3184</v>
      </c>
      <c r="D351" s="136" t="s">
        <v>3185</v>
      </c>
      <c r="E351" s="529" t="s">
        <v>2727</v>
      </c>
      <c r="F351" s="529" t="s">
        <v>5316</v>
      </c>
      <c r="G351" s="530"/>
      <c r="H351" s="530"/>
      <c r="I351" s="531"/>
      <c r="J351" s="532"/>
      <c r="K351" s="533"/>
      <c r="L351" s="95"/>
      <c r="M351" s="147"/>
      <c r="N351" s="137">
        <v>0</v>
      </c>
      <c r="O351" s="138">
        <v>0</v>
      </c>
      <c r="P351" s="138">
        <v>0</v>
      </c>
      <c r="Q351" s="138">
        <v>0</v>
      </c>
      <c r="R351" s="138">
        <v>0</v>
      </c>
      <c r="S351" s="139">
        <v>0</v>
      </c>
      <c r="T351" s="322">
        <f t="shared" si="80"/>
        <v>0</v>
      </c>
      <c r="U351" s="140" t="str">
        <f t="shared" si="81"/>
        <v/>
      </c>
      <c r="V351" s="322">
        <f t="shared" si="72"/>
        <v>0</v>
      </c>
      <c r="W351" s="140" t="str">
        <f t="shared" si="82"/>
        <v/>
      </c>
      <c r="X351" s="322">
        <f t="shared" si="83"/>
        <v>0</v>
      </c>
      <c r="Y351" s="140" t="str">
        <f t="shared" si="84"/>
        <v/>
      </c>
      <c r="Z351" s="519">
        <v>0</v>
      </c>
      <c r="AA351" s="111">
        <f t="shared" si="73"/>
        <v>0</v>
      </c>
      <c r="AB351" s="111">
        <f t="shared" si="74"/>
        <v>0</v>
      </c>
    </row>
    <row r="352" spans="1:28" ht="26.25" customHeight="1">
      <c r="A352" s="115" t="s">
        <v>2728</v>
      </c>
      <c r="B352" s="124" t="s">
        <v>1263</v>
      </c>
      <c r="C352" s="101" t="s">
        <v>3186</v>
      </c>
      <c r="D352" s="101" t="s">
        <v>3185</v>
      </c>
      <c r="E352" s="554" t="s">
        <v>2727</v>
      </c>
      <c r="F352" s="534" t="s">
        <v>5316</v>
      </c>
      <c r="G352" s="555"/>
      <c r="H352" s="555"/>
      <c r="I352" s="556"/>
      <c r="J352" s="557"/>
      <c r="K352" s="558"/>
      <c r="L352" s="95"/>
      <c r="M352" s="104"/>
      <c r="N352" s="137">
        <v>0</v>
      </c>
      <c r="O352" s="138">
        <v>0</v>
      </c>
      <c r="P352" s="138">
        <v>0</v>
      </c>
      <c r="Q352" s="138">
        <v>0</v>
      </c>
      <c r="R352" s="138">
        <v>0</v>
      </c>
      <c r="S352" s="139">
        <v>0</v>
      </c>
      <c r="T352" s="322">
        <f t="shared" si="80"/>
        <v>0</v>
      </c>
      <c r="U352" s="140" t="str">
        <f t="shared" si="81"/>
        <v/>
      </c>
      <c r="V352" s="322">
        <f t="shared" si="72"/>
        <v>0</v>
      </c>
      <c r="W352" s="140" t="str">
        <f t="shared" si="82"/>
        <v/>
      </c>
      <c r="X352" s="322">
        <f t="shared" si="83"/>
        <v>0</v>
      </c>
      <c r="Y352" s="140" t="str">
        <f t="shared" si="84"/>
        <v/>
      </c>
      <c r="Z352" s="519">
        <v>0</v>
      </c>
      <c r="AA352" s="111">
        <f t="shared" si="73"/>
        <v>0</v>
      </c>
      <c r="AB352" s="111">
        <f t="shared" si="74"/>
        <v>0</v>
      </c>
    </row>
    <row r="353" spans="1:28" ht="15.75" customHeight="1">
      <c r="A353" s="114" t="s">
        <v>2729</v>
      </c>
      <c r="B353" s="125" t="s">
        <v>1263</v>
      </c>
      <c r="C353" s="97" t="s">
        <v>3186</v>
      </c>
      <c r="D353" s="97" t="s">
        <v>3183</v>
      </c>
      <c r="E353" s="559" t="s">
        <v>2730</v>
      </c>
      <c r="F353" s="540" t="s">
        <v>5317</v>
      </c>
      <c r="G353" s="555" t="s">
        <v>1195</v>
      </c>
      <c r="H353" s="555" t="s">
        <v>3736</v>
      </c>
      <c r="I353" s="556" t="s">
        <v>2713</v>
      </c>
      <c r="J353" s="557" t="s">
        <v>196</v>
      </c>
      <c r="K353" s="558" t="s">
        <v>2890</v>
      </c>
      <c r="L353" s="95"/>
      <c r="M353" s="104"/>
      <c r="N353" s="137">
        <v>88805.04</v>
      </c>
      <c r="O353" s="138">
        <v>90000</v>
      </c>
      <c r="P353" s="138">
        <v>89000</v>
      </c>
      <c r="Q353" s="138">
        <v>89000</v>
      </c>
      <c r="R353" s="138">
        <v>89000</v>
      </c>
      <c r="S353" s="139">
        <v>89000</v>
      </c>
      <c r="T353" s="322">
        <f t="shared" si="80"/>
        <v>194.9600000000064</v>
      </c>
      <c r="U353" s="140">
        <f t="shared" si="81"/>
        <v>2.1953708933637821E-3</v>
      </c>
      <c r="V353" s="322">
        <f t="shared" si="72"/>
        <v>-1000</v>
      </c>
      <c r="W353" s="140">
        <f t="shared" si="82"/>
        <v>-1.1111111111111112E-2</v>
      </c>
      <c r="X353" s="322">
        <f t="shared" si="83"/>
        <v>0</v>
      </c>
      <c r="Y353" s="140">
        <f t="shared" si="84"/>
        <v>0</v>
      </c>
      <c r="Z353" s="519">
        <v>66691.569999999992</v>
      </c>
      <c r="AA353" s="111">
        <f t="shared" si="73"/>
        <v>88922.093333333323</v>
      </c>
      <c r="AB353" s="111">
        <f t="shared" si="74"/>
        <v>77.906666666676756</v>
      </c>
    </row>
    <row r="354" spans="1:28" ht="26.25" customHeight="1">
      <c r="A354" s="114" t="s">
        <v>2731</v>
      </c>
      <c r="B354" s="125" t="s">
        <v>1263</v>
      </c>
      <c r="C354" s="97" t="s">
        <v>3186</v>
      </c>
      <c r="D354" s="97" t="s">
        <v>3193</v>
      </c>
      <c r="E354" s="559" t="s">
        <v>2732</v>
      </c>
      <c r="F354" s="540" t="s">
        <v>5318</v>
      </c>
      <c r="G354" s="555" t="s">
        <v>1195</v>
      </c>
      <c r="H354" s="555" t="s">
        <v>3736</v>
      </c>
      <c r="I354" s="556" t="s">
        <v>2713</v>
      </c>
      <c r="J354" s="557" t="s">
        <v>196</v>
      </c>
      <c r="K354" s="558" t="s">
        <v>2890</v>
      </c>
      <c r="L354" s="95"/>
      <c r="M354" s="104"/>
      <c r="N354" s="137">
        <v>0</v>
      </c>
      <c r="O354" s="138">
        <v>1000</v>
      </c>
      <c r="P354" s="138">
        <v>0</v>
      </c>
      <c r="Q354" s="138">
        <v>0</v>
      </c>
      <c r="R354" s="138">
        <v>0</v>
      </c>
      <c r="S354" s="139">
        <v>0</v>
      </c>
      <c r="T354" s="322">
        <f t="shared" si="80"/>
        <v>0</v>
      </c>
      <c r="U354" s="140" t="str">
        <f t="shared" si="81"/>
        <v/>
      </c>
      <c r="V354" s="322">
        <f t="shared" si="72"/>
        <v>-1000</v>
      </c>
      <c r="W354" s="140">
        <f t="shared" si="82"/>
        <v>-1</v>
      </c>
      <c r="X354" s="322">
        <f t="shared" si="83"/>
        <v>0</v>
      </c>
      <c r="Y354" s="140" t="str">
        <f t="shared" si="84"/>
        <v/>
      </c>
      <c r="Z354" s="519">
        <v>0</v>
      </c>
      <c r="AA354" s="111">
        <f t="shared" si="73"/>
        <v>0</v>
      </c>
      <c r="AB354" s="111">
        <f t="shared" si="74"/>
        <v>0</v>
      </c>
    </row>
    <row r="355" spans="1:28" ht="15" customHeight="1">
      <c r="A355" s="114" t="s">
        <v>2733</v>
      </c>
      <c r="B355" s="125" t="s">
        <v>1263</v>
      </c>
      <c r="C355" s="97" t="s">
        <v>3186</v>
      </c>
      <c r="D355" s="97" t="s">
        <v>2631</v>
      </c>
      <c r="E355" s="559" t="s">
        <v>2734</v>
      </c>
      <c r="F355" s="540" t="s">
        <v>5319</v>
      </c>
      <c r="G355" s="555" t="s">
        <v>1195</v>
      </c>
      <c r="H355" s="555" t="s">
        <v>3736</v>
      </c>
      <c r="I355" s="556" t="s">
        <v>2713</v>
      </c>
      <c r="J355" s="557" t="s">
        <v>196</v>
      </c>
      <c r="K355" s="558" t="s">
        <v>2890</v>
      </c>
      <c r="L355" s="95"/>
      <c r="M355" s="104"/>
      <c r="N355" s="137">
        <v>0</v>
      </c>
      <c r="O355" s="138">
        <v>0</v>
      </c>
      <c r="P355" s="138">
        <v>0</v>
      </c>
      <c r="Q355" s="138">
        <v>0</v>
      </c>
      <c r="R355" s="138">
        <v>0</v>
      </c>
      <c r="S355" s="139">
        <v>0</v>
      </c>
      <c r="T355" s="322">
        <f t="shared" si="80"/>
        <v>0</v>
      </c>
      <c r="U355" s="140" t="str">
        <f t="shared" si="81"/>
        <v/>
      </c>
      <c r="V355" s="322">
        <f t="shared" si="72"/>
        <v>0</v>
      </c>
      <c r="W355" s="140" t="str">
        <f t="shared" si="82"/>
        <v/>
      </c>
      <c r="X355" s="322">
        <f t="shared" si="83"/>
        <v>0</v>
      </c>
      <c r="Y355" s="140" t="str">
        <f t="shared" si="84"/>
        <v/>
      </c>
      <c r="Z355" s="519">
        <v>0</v>
      </c>
      <c r="AA355" s="111">
        <f t="shared" si="73"/>
        <v>0</v>
      </c>
      <c r="AB355" s="111">
        <f t="shared" si="74"/>
        <v>0</v>
      </c>
    </row>
    <row r="356" spans="1:28" ht="36.75" customHeight="1">
      <c r="A356" s="115" t="s">
        <v>2735</v>
      </c>
      <c r="B356" s="124" t="s">
        <v>1263</v>
      </c>
      <c r="C356" s="101" t="s">
        <v>3187</v>
      </c>
      <c r="D356" s="101" t="s">
        <v>3185</v>
      </c>
      <c r="E356" s="554" t="s">
        <v>2736</v>
      </c>
      <c r="F356" s="534" t="s">
        <v>5320</v>
      </c>
      <c r="G356" s="555"/>
      <c r="H356" s="555"/>
      <c r="I356" s="556"/>
      <c r="J356" s="557"/>
      <c r="K356" s="558"/>
      <c r="L356" s="95"/>
      <c r="M356" s="104"/>
      <c r="N356" s="137">
        <v>0</v>
      </c>
      <c r="O356" s="138">
        <v>0</v>
      </c>
      <c r="P356" s="138">
        <v>0</v>
      </c>
      <c r="Q356" s="138">
        <v>0</v>
      </c>
      <c r="R356" s="138">
        <v>0</v>
      </c>
      <c r="S356" s="139">
        <v>0</v>
      </c>
      <c r="T356" s="322">
        <f t="shared" si="80"/>
        <v>0</v>
      </c>
      <c r="U356" s="140" t="str">
        <f t="shared" si="81"/>
        <v/>
      </c>
      <c r="V356" s="322">
        <f t="shared" si="72"/>
        <v>0</v>
      </c>
      <c r="W356" s="140" t="str">
        <f t="shared" si="82"/>
        <v/>
      </c>
      <c r="X356" s="322">
        <f t="shared" si="83"/>
        <v>0</v>
      </c>
      <c r="Y356" s="140" t="str">
        <f t="shared" si="84"/>
        <v/>
      </c>
      <c r="Z356" s="519">
        <v>0</v>
      </c>
      <c r="AA356" s="111">
        <f t="shared" si="73"/>
        <v>0</v>
      </c>
      <c r="AB356" s="111">
        <f t="shared" si="74"/>
        <v>0</v>
      </c>
    </row>
    <row r="357" spans="1:28" ht="36.75" customHeight="1">
      <c r="A357" s="114" t="s">
        <v>2737</v>
      </c>
      <c r="B357" s="125" t="s">
        <v>1263</v>
      </c>
      <c r="C357" s="97" t="s">
        <v>3187</v>
      </c>
      <c r="D357" s="97" t="s">
        <v>3183</v>
      </c>
      <c r="E357" s="559" t="s">
        <v>2736</v>
      </c>
      <c r="F357" s="540" t="s">
        <v>5320</v>
      </c>
      <c r="G357" s="555" t="s">
        <v>811</v>
      </c>
      <c r="H357" s="512" t="s">
        <v>4997</v>
      </c>
      <c r="I357" s="556" t="s">
        <v>2725</v>
      </c>
      <c r="J357" s="557" t="s">
        <v>2909</v>
      </c>
      <c r="K357" s="558" t="s">
        <v>2725</v>
      </c>
      <c r="L357" s="95"/>
      <c r="M357" s="104"/>
      <c r="N357" s="137">
        <v>0</v>
      </c>
      <c r="O357" s="138">
        <v>0</v>
      </c>
      <c r="P357" s="138">
        <v>0</v>
      </c>
      <c r="Q357" s="138">
        <v>0</v>
      </c>
      <c r="R357" s="138">
        <v>0</v>
      </c>
      <c r="S357" s="139">
        <v>0</v>
      </c>
      <c r="T357" s="322">
        <f t="shared" si="80"/>
        <v>0</v>
      </c>
      <c r="U357" s="140" t="str">
        <f t="shared" si="81"/>
        <v/>
      </c>
      <c r="V357" s="322">
        <f t="shared" si="72"/>
        <v>0</v>
      </c>
      <c r="W357" s="140" t="str">
        <f t="shared" si="82"/>
        <v/>
      </c>
      <c r="X357" s="322">
        <f t="shared" si="83"/>
        <v>0</v>
      </c>
      <c r="Y357" s="140" t="str">
        <f t="shared" si="84"/>
        <v/>
      </c>
      <c r="Z357" s="519">
        <v>0</v>
      </c>
      <c r="AA357" s="111">
        <f t="shared" si="73"/>
        <v>0</v>
      </c>
      <c r="AB357" s="111">
        <f t="shared" si="74"/>
        <v>0</v>
      </c>
    </row>
    <row r="358" spans="1:28" ht="18" customHeight="1">
      <c r="A358" s="113" t="s">
        <v>2738</v>
      </c>
      <c r="B358" s="135" t="s">
        <v>2739</v>
      </c>
      <c r="C358" s="136" t="s">
        <v>3184</v>
      </c>
      <c r="D358" s="136" t="s">
        <v>3185</v>
      </c>
      <c r="E358" s="529" t="s">
        <v>2741</v>
      </c>
      <c r="F358" s="529" t="s">
        <v>2740</v>
      </c>
      <c r="G358" s="530"/>
      <c r="H358" s="530"/>
      <c r="I358" s="531"/>
      <c r="J358" s="532"/>
      <c r="K358" s="533"/>
      <c r="L358" s="95"/>
      <c r="M358" s="147"/>
      <c r="N358" s="137">
        <v>0</v>
      </c>
      <c r="O358" s="138">
        <v>0</v>
      </c>
      <c r="P358" s="138">
        <v>0</v>
      </c>
      <c r="Q358" s="138">
        <v>0</v>
      </c>
      <c r="R358" s="138">
        <v>0</v>
      </c>
      <c r="S358" s="139">
        <v>0</v>
      </c>
      <c r="T358" s="322">
        <f t="shared" si="80"/>
        <v>0</v>
      </c>
      <c r="U358" s="140" t="str">
        <f t="shared" si="81"/>
        <v/>
      </c>
      <c r="V358" s="322">
        <f t="shared" si="72"/>
        <v>0</v>
      </c>
      <c r="W358" s="140" t="str">
        <f t="shared" si="82"/>
        <v/>
      </c>
      <c r="X358" s="322">
        <f t="shared" si="83"/>
        <v>0</v>
      </c>
      <c r="Y358" s="140" t="str">
        <f t="shared" si="84"/>
        <v/>
      </c>
      <c r="Z358" s="519">
        <v>0</v>
      </c>
      <c r="AA358" s="111">
        <f t="shared" si="73"/>
        <v>0</v>
      </c>
      <c r="AB358" s="111">
        <f t="shared" si="74"/>
        <v>0</v>
      </c>
    </row>
    <row r="359" spans="1:28" ht="36.75" customHeight="1">
      <c r="A359" s="115" t="s">
        <v>2742</v>
      </c>
      <c r="B359" s="124" t="s">
        <v>2739</v>
      </c>
      <c r="C359" s="101" t="s">
        <v>3186</v>
      </c>
      <c r="D359" s="101" t="s">
        <v>3185</v>
      </c>
      <c r="E359" s="554" t="s">
        <v>2744</v>
      </c>
      <c r="F359" s="534" t="s">
        <v>2743</v>
      </c>
      <c r="G359" s="555"/>
      <c r="H359" s="555"/>
      <c r="I359" s="556"/>
      <c r="J359" s="557"/>
      <c r="K359" s="558"/>
      <c r="L359" s="95"/>
      <c r="M359" s="104"/>
      <c r="N359" s="137">
        <v>0</v>
      </c>
      <c r="O359" s="138">
        <v>0</v>
      </c>
      <c r="P359" s="138">
        <v>0</v>
      </c>
      <c r="Q359" s="138">
        <v>0</v>
      </c>
      <c r="R359" s="138">
        <v>0</v>
      </c>
      <c r="S359" s="139">
        <v>0</v>
      </c>
      <c r="T359" s="322">
        <f t="shared" si="80"/>
        <v>0</v>
      </c>
      <c r="U359" s="140" t="str">
        <f t="shared" si="81"/>
        <v/>
      </c>
      <c r="V359" s="322">
        <f t="shared" si="72"/>
        <v>0</v>
      </c>
      <c r="W359" s="140" t="str">
        <f t="shared" si="82"/>
        <v/>
      </c>
      <c r="X359" s="322">
        <f t="shared" si="83"/>
        <v>0</v>
      </c>
      <c r="Y359" s="140" t="str">
        <f t="shared" si="84"/>
        <v/>
      </c>
      <c r="Z359" s="519">
        <v>0</v>
      </c>
      <c r="AA359" s="111">
        <f t="shared" si="73"/>
        <v>0</v>
      </c>
      <c r="AB359" s="111">
        <f t="shared" si="74"/>
        <v>0</v>
      </c>
    </row>
    <row r="360" spans="1:28" ht="36.75" customHeight="1">
      <c r="A360" s="114" t="s">
        <v>2745</v>
      </c>
      <c r="B360" s="125" t="s">
        <v>2739</v>
      </c>
      <c r="C360" s="97" t="s">
        <v>3186</v>
      </c>
      <c r="D360" s="97" t="s">
        <v>3183</v>
      </c>
      <c r="E360" s="559" t="s">
        <v>2744</v>
      </c>
      <c r="F360" s="540" t="s">
        <v>2743</v>
      </c>
      <c r="G360" s="555" t="s">
        <v>1197</v>
      </c>
      <c r="H360" s="555" t="s">
        <v>3737</v>
      </c>
      <c r="I360" s="556" t="s">
        <v>2746</v>
      </c>
      <c r="J360" s="557" t="s">
        <v>196</v>
      </c>
      <c r="K360" s="558" t="s">
        <v>2890</v>
      </c>
      <c r="L360" s="95"/>
      <c r="M360" s="104"/>
      <c r="N360" s="137">
        <v>1039620.83</v>
      </c>
      <c r="O360" s="138">
        <v>1009000</v>
      </c>
      <c r="P360" s="138">
        <v>1040000</v>
      </c>
      <c r="Q360" s="138">
        <v>1050000</v>
      </c>
      <c r="R360" s="138">
        <v>1061000</v>
      </c>
      <c r="S360" s="139">
        <v>1072000</v>
      </c>
      <c r="T360" s="322">
        <f t="shared" si="80"/>
        <v>10379.170000000042</v>
      </c>
      <c r="U360" s="140">
        <f t="shared" si="81"/>
        <v>9.9836110440380873E-3</v>
      </c>
      <c r="V360" s="322">
        <f t="shared" si="72"/>
        <v>41000</v>
      </c>
      <c r="W360" s="140">
        <f t="shared" si="82"/>
        <v>4.0634291377601585E-2</v>
      </c>
      <c r="X360" s="322">
        <f t="shared" si="83"/>
        <v>10000</v>
      </c>
      <c r="Y360" s="140">
        <f t="shared" si="84"/>
        <v>9.6153846153846159E-3</v>
      </c>
      <c r="Z360" s="519">
        <v>779789.57</v>
      </c>
      <c r="AA360" s="111">
        <f t="shared" si="73"/>
        <v>1039719.4266666666</v>
      </c>
      <c r="AB360" s="111">
        <f t="shared" si="74"/>
        <v>280.57333333336283</v>
      </c>
    </row>
    <row r="361" spans="1:28" ht="18" customHeight="1">
      <c r="A361" s="115" t="s">
        <v>2747</v>
      </c>
      <c r="B361" s="124" t="s">
        <v>2739</v>
      </c>
      <c r="C361" s="101" t="s">
        <v>2759</v>
      </c>
      <c r="D361" s="101" t="s">
        <v>3185</v>
      </c>
      <c r="E361" s="554" t="s">
        <v>2749</v>
      </c>
      <c r="F361" s="534" t="s">
        <v>2748</v>
      </c>
      <c r="G361" s="555"/>
      <c r="H361" s="555"/>
      <c r="I361" s="556"/>
      <c r="J361" s="557"/>
      <c r="K361" s="558"/>
      <c r="L361" s="95"/>
      <c r="M361" s="104"/>
      <c r="N361" s="137">
        <v>0</v>
      </c>
      <c r="O361" s="138">
        <v>0</v>
      </c>
      <c r="P361" s="138">
        <v>0</v>
      </c>
      <c r="Q361" s="138">
        <v>0</v>
      </c>
      <c r="R361" s="138">
        <v>0</v>
      </c>
      <c r="S361" s="139">
        <v>0</v>
      </c>
      <c r="T361" s="322">
        <f t="shared" si="80"/>
        <v>0</v>
      </c>
      <c r="U361" s="140" t="str">
        <f t="shared" si="81"/>
        <v/>
      </c>
      <c r="V361" s="322">
        <f t="shared" si="72"/>
        <v>0</v>
      </c>
      <c r="W361" s="140" t="str">
        <f t="shared" si="82"/>
        <v/>
      </c>
      <c r="X361" s="322">
        <f t="shared" si="83"/>
        <v>0</v>
      </c>
      <c r="Y361" s="140" t="str">
        <f t="shared" si="84"/>
        <v/>
      </c>
      <c r="Z361" s="519">
        <v>0</v>
      </c>
      <c r="AA361" s="111">
        <f t="shared" si="73"/>
        <v>0</v>
      </c>
      <c r="AB361" s="111">
        <f t="shared" si="74"/>
        <v>0</v>
      </c>
    </row>
    <row r="362" spans="1:28" ht="18" customHeight="1">
      <c r="A362" s="114" t="s">
        <v>2750</v>
      </c>
      <c r="B362" s="125" t="s">
        <v>2739</v>
      </c>
      <c r="C362" s="97" t="s">
        <v>2759</v>
      </c>
      <c r="D362" s="97" t="s">
        <v>3183</v>
      </c>
      <c r="E362" s="559" t="s">
        <v>2749</v>
      </c>
      <c r="F362" s="540" t="s">
        <v>2748</v>
      </c>
      <c r="G362" s="555" t="s">
        <v>1197</v>
      </c>
      <c r="H362" s="555" t="s">
        <v>3737</v>
      </c>
      <c r="I362" s="556" t="s">
        <v>2746</v>
      </c>
      <c r="J362" s="557" t="s">
        <v>196</v>
      </c>
      <c r="K362" s="558" t="s">
        <v>2890</v>
      </c>
      <c r="L362" s="95"/>
      <c r="M362" s="104"/>
      <c r="N362" s="137">
        <v>3125.6</v>
      </c>
      <c r="O362" s="138">
        <v>5000</v>
      </c>
      <c r="P362" s="138">
        <v>1000</v>
      </c>
      <c r="Q362" s="138">
        <v>1000</v>
      </c>
      <c r="R362" s="138">
        <v>1000</v>
      </c>
      <c r="S362" s="139">
        <v>1000</v>
      </c>
      <c r="T362" s="322">
        <f t="shared" si="80"/>
        <v>-2125.6</v>
      </c>
      <c r="U362" s="140">
        <f t="shared" si="81"/>
        <v>-0.68006142820578452</v>
      </c>
      <c r="V362" s="322">
        <f t="shared" si="72"/>
        <v>-4000</v>
      </c>
      <c r="W362" s="140">
        <f t="shared" si="82"/>
        <v>-0.8</v>
      </c>
      <c r="X362" s="322">
        <f t="shared" si="83"/>
        <v>0</v>
      </c>
      <c r="Y362" s="140">
        <f t="shared" si="84"/>
        <v>0</v>
      </c>
      <c r="Z362" s="519">
        <v>220</v>
      </c>
      <c r="AA362" s="111">
        <f t="shared" si="73"/>
        <v>293.33333333333331</v>
      </c>
      <c r="AB362" s="111">
        <f t="shared" si="74"/>
        <v>706.66666666666674</v>
      </c>
    </row>
    <row r="363" spans="1:28" ht="18" customHeight="1">
      <c r="A363" s="117" t="s">
        <v>2751</v>
      </c>
      <c r="B363" s="127" t="s">
        <v>2739</v>
      </c>
      <c r="C363" s="99" t="s">
        <v>3187</v>
      </c>
      <c r="D363" s="99" t="s">
        <v>3185</v>
      </c>
      <c r="E363" s="534" t="s">
        <v>2753</v>
      </c>
      <c r="F363" s="534" t="s">
        <v>2752</v>
      </c>
      <c r="G363" s="555"/>
      <c r="H363" s="555"/>
      <c r="I363" s="556"/>
      <c r="J363" s="557"/>
      <c r="K363" s="558"/>
      <c r="L363" s="95"/>
      <c r="M363" s="104"/>
      <c r="N363" s="137">
        <v>0</v>
      </c>
      <c r="O363" s="138">
        <v>0</v>
      </c>
      <c r="P363" s="138">
        <v>0</v>
      </c>
      <c r="Q363" s="138">
        <v>0</v>
      </c>
      <c r="R363" s="138">
        <v>0</v>
      </c>
      <c r="S363" s="139">
        <v>0</v>
      </c>
      <c r="T363" s="322">
        <f t="shared" si="80"/>
        <v>0</v>
      </c>
      <c r="U363" s="140" t="str">
        <f t="shared" si="81"/>
        <v/>
      </c>
      <c r="V363" s="322">
        <f t="shared" si="72"/>
        <v>0</v>
      </c>
      <c r="W363" s="140" t="str">
        <f t="shared" si="82"/>
        <v/>
      </c>
      <c r="X363" s="322">
        <f t="shared" si="83"/>
        <v>0</v>
      </c>
      <c r="Y363" s="140" t="str">
        <f t="shared" si="84"/>
        <v/>
      </c>
      <c r="Z363" s="519">
        <v>0</v>
      </c>
      <c r="AA363" s="111">
        <f t="shared" si="73"/>
        <v>0</v>
      </c>
      <c r="AB363" s="111">
        <f t="shared" si="74"/>
        <v>0</v>
      </c>
    </row>
    <row r="364" spans="1:28" ht="18" customHeight="1">
      <c r="A364" s="114" t="s">
        <v>2754</v>
      </c>
      <c r="B364" s="125" t="s">
        <v>2739</v>
      </c>
      <c r="C364" s="97" t="s">
        <v>3187</v>
      </c>
      <c r="D364" s="97" t="s">
        <v>3183</v>
      </c>
      <c r="E364" s="559" t="s">
        <v>2756</v>
      </c>
      <c r="F364" s="540" t="s">
        <v>2755</v>
      </c>
      <c r="G364" s="555" t="s">
        <v>909</v>
      </c>
      <c r="H364" s="555" t="s">
        <v>2757</v>
      </c>
      <c r="I364" s="556" t="s">
        <v>1267</v>
      </c>
      <c r="J364" s="557" t="s">
        <v>2876</v>
      </c>
      <c r="K364" s="558" t="s">
        <v>2877</v>
      </c>
      <c r="L364" s="95"/>
      <c r="M364" s="104"/>
      <c r="N364" s="137">
        <v>513586.62</v>
      </c>
      <c r="O364" s="138">
        <v>490000</v>
      </c>
      <c r="P364" s="138">
        <v>590000</v>
      </c>
      <c r="Q364" s="138">
        <v>690000</v>
      </c>
      <c r="R364" s="138">
        <v>830000</v>
      </c>
      <c r="S364" s="139">
        <v>830000</v>
      </c>
      <c r="T364" s="322">
        <f t="shared" si="80"/>
        <v>176413.38</v>
      </c>
      <c r="U364" s="140">
        <f t="shared" si="81"/>
        <v>0.34349294379982098</v>
      </c>
      <c r="V364" s="322">
        <f t="shared" si="72"/>
        <v>200000</v>
      </c>
      <c r="W364" s="140">
        <f t="shared" si="82"/>
        <v>0.40816326530612246</v>
      </c>
      <c r="X364" s="322">
        <f t="shared" si="83"/>
        <v>100000</v>
      </c>
      <c r="Y364" s="140">
        <f t="shared" si="84"/>
        <v>0.16949152542372881</v>
      </c>
      <c r="Z364" s="519">
        <v>442280.16000000003</v>
      </c>
      <c r="AA364" s="111">
        <f t="shared" si="73"/>
        <v>589706.88</v>
      </c>
      <c r="AB364" s="111">
        <f t="shared" si="74"/>
        <v>293.11999999999534</v>
      </c>
    </row>
    <row r="365" spans="1:28" ht="18" customHeight="1">
      <c r="A365" s="114" t="s">
        <v>2181</v>
      </c>
      <c r="B365" s="125" t="s">
        <v>2739</v>
      </c>
      <c r="C365" s="97" t="s">
        <v>3187</v>
      </c>
      <c r="D365" s="97" t="s">
        <v>3193</v>
      </c>
      <c r="E365" s="559" t="s">
        <v>2183</v>
      </c>
      <c r="F365" s="540" t="s">
        <v>2182</v>
      </c>
      <c r="G365" s="555" t="s">
        <v>909</v>
      </c>
      <c r="H365" s="555" t="s">
        <v>2757</v>
      </c>
      <c r="I365" s="556" t="s">
        <v>1267</v>
      </c>
      <c r="J365" s="557" t="s">
        <v>2876</v>
      </c>
      <c r="K365" s="558" t="s">
        <v>2877</v>
      </c>
      <c r="L365" s="95"/>
      <c r="M365" s="104"/>
      <c r="N365" s="137">
        <v>21693.75</v>
      </c>
      <c r="O365" s="138">
        <v>27000</v>
      </c>
      <c r="P365" s="138">
        <v>36000</v>
      </c>
      <c r="Q365" s="138">
        <v>36000</v>
      </c>
      <c r="R365" s="138">
        <v>36000</v>
      </c>
      <c r="S365" s="139">
        <v>36000</v>
      </c>
      <c r="T365" s="322">
        <f t="shared" si="80"/>
        <v>14306.25</v>
      </c>
      <c r="U365" s="140">
        <f t="shared" si="81"/>
        <v>0.65946413137424376</v>
      </c>
      <c r="V365" s="322">
        <f t="shared" si="72"/>
        <v>9000</v>
      </c>
      <c r="W365" s="140">
        <f t="shared" si="82"/>
        <v>0.33333333333333331</v>
      </c>
      <c r="X365" s="322">
        <f t="shared" si="83"/>
        <v>0</v>
      </c>
      <c r="Y365" s="140">
        <f t="shared" si="84"/>
        <v>0</v>
      </c>
      <c r="Z365" s="519">
        <v>17934.439999999999</v>
      </c>
      <c r="AA365" s="111">
        <f t="shared" si="73"/>
        <v>23912.586666666666</v>
      </c>
      <c r="AB365" s="111">
        <f t="shared" si="74"/>
        <v>12087.413333333334</v>
      </c>
    </row>
    <row r="366" spans="1:28" ht="21">
      <c r="A366" s="115" t="s">
        <v>2184</v>
      </c>
      <c r="B366" s="124" t="s">
        <v>2739</v>
      </c>
      <c r="C366" s="101" t="s">
        <v>2866</v>
      </c>
      <c r="D366" s="101" t="s">
        <v>3185</v>
      </c>
      <c r="E366" s="554" t="s">
        <v>2186</v>
      </c>
      <c r="F366" s="534" t="s">
        <v>2185</v>
      </c>
      <c r="G366" s="555"/>
      <c r="H366" s="555"/>
      <c r="I366" s="556"/>
      <c r="J366" s="557"/>
      <c r="K366" s="558"/>
      <c r="L366" s="95"/>
      <c r="M366" s="104"/>
      <c r="N366" s="137">
        <v>0</v>
      </c>
      <c r="O366" s="138">
        <v>0</v>
      </c>
      <c r="P366" s="138">
        <v>0</v>
      </c>
      <c r="Q366" s="138">
        <v>0</v>
      </c>
      <c r="R366" s="138">
        <v>0</v>
      </c>
      <c r="S366" s="139">
        <v>0</v>
      </c>
      <c r="T366" s="322">
        <f t="shared" si="80"/>
        <v>0</v>
      </c>
      <c r="U366" s="140" t="str">
        <f t="shared" si="81"/>
        <v/>
      </c>
      <c r="V366" s="322">
        <f t="shared" si="72"/>
        <v>0</v>
      </c>
      <c r="W366" s="140" t="str">
        <f t="shared" si="82"/>
        <v/>
      </c>
      <c r="X366" s="322">
        <f t="shared" si="83"/>
        <v>0</v>
      </c>
      <c r="Y366" s="140" t="str">
        <f t="shared" si="84"/>
        <v/>
      </c>
      <c r="Z366" s="519">
        <v>0</v>
      </c>
      <c r="AA366" s="111">
        <f t="shared" si="73"/>
        <v>0</v>
      </c>
      <c r="AB366" s="111">
        <f t="shared" si="74"/>
        <v>0</v>
      </c>
    </row>
    <row r="367" spans="1:28" ht="21.75" customHeight="1">
      <c r="A367" s="114" t="s">
        <v>2187</v>
      </c>
      <c r="B367" s="125" t="s">
        <v>2739</v>
      </c>
      <c r="C367" s="97" t="s">
        <v>2866</v>
      </c>
      <c r="D367" s="97" t="s">
        <v>3183</v>
      </c>
      <c r="E367" s="559" t="s">
        <v>2189</v>
      </c>
      <c r="F367" s="540" t="s">
        <v>2188</v>
      </c>
      <c r="G367" s="555" t="s">
        <v>433</v>
      </c>
      <c r="H367" s="555" t="s">
        <v>3738</v>
      </c>
      <c r="I367" s="556" t="s">
        <v>3739</v>
      </c>
      <c r="J367" s="557" t="s">
        <v>1775</v>
      </c>
      <c r="K367" s="558" t="s">
        <v>1779</v>
      </c>
      <c r="L367" s="95"/>
      <c r="M367" s="104"/>
      <c r="N367" s="137">
        <v>9066.99</v>
      </c>
      <c r="O367" s="138">
        <v>134000</v>
      </c>
      <c r="P367" s="138">
        <v>20000</v>
      </c>
      <c r="Q367" s="138">
        <v>50000</v>
      </c>
      <c r="R367" s="138">
        <v>50000</v>
      </c>
      <c r="S367" s="139">
        <v>50000</v>
      </c>
      <c r="T367" s="322">
        <f t="shared" si="80"/>
        <v>40933.01</v>
      </c>
      <c r="U367" s="140">
        <f t="shared" si="81"/>
        <v>4.5145092252224828</v>
      </c>
      <c r="V367" s="322">
        <f t="shared" si="72"/>
        <v>-84000</v>
      </c>
      <c r="W367" s="140">
        <f t="shared" si="82"/>
        <v>-0.62686567164179108</v>
      </c>
      <c r="X367" s="322">
        <f t="shared" si="83"/>
        <v>30000</v>
      </c>
      <c r="Y367" s="140">
        <f t="shared" si="84"/>
        <v>1.5</v>
      </c>
      <c r="Z367" s="519">
        <v>10181.870000000001</v>
      </c>
      <c r="AA367" s="111">
        <f t="shared" si="73"/>
        <v>13575.826666666668</v>
      </c>
      <c r="AB367" s="111">
        <f t="shared" si="74"/>
        <v>6424.1733333333323</v>
      </c>
    </row>
    <row r="368" spans="1:28" ht="18" customHeight="1">
      <c r="A368" s="114" t="s">
        <v>2190</v>
      </c>
      <c r="B368" s="125" t="s">
        <v>2739</v>
      </c>
      <c r="C368" s="97" t="s">
        <v>2866</v>
      </c>
      <c r="D368" s="97" t="s">
        <v>3193</v>
      </c>
      <c r="E368" s="559" t="s">
        <v>2192</v>
      </c>
      <c r="F368" s="540" t="s">
        <v>2191</v>
      </c>
      <c r="G368" s="555" t="s">
        <v>433</v>
      </c>
      <c r="H368" s="555" t="s">
        <v>3738</v>
      </c>
      <c r="I368" s="556" t="s">
        <v>3739</v>
      </c>
      <c r="J368" s="557" t="s">
        <v>1775</v>
      </c>
      <c r="K368" s="558" t="s">
        <v>1779</v>
      </c>
      <c r="L368" s="95"/>
      <c r="M368" s="104"/>
      <c r="N368" s="137">
        <v>53149.27</v>
      </c>
      <c r="O368" s="138">
        <v>50000</v>
      </c>
      <c r="P368" s="138">
        <v>60000</v>
      </c>
      <c r="Q368" s="138">
        <v>50000</v>
      </c>
      <c r="R368" s="138">
        <v>50000</v>
      </c>
      <c r="S368" s="139">
        <v>50000</v>
      </c>
      <c r="T368" s="322">
        <f t="shared" si="80"/>
        <v>-3149.2699999999968</v>
      </c>
      <c r="U368" s="140">
        <f t="shared" si="81"/>
        <v>-5.9253306771663974E-2</v>
      </c>
      <c r="V368" s="322">
        <f t="shared" si="72"/>
        <v>0</v>
      </c>
      <c r="W368" s="140">
        <f t="shared" si="82"/>
        <v>0</v>
      </c>
      <c r="X368" s="322">
        <f t="shared" si="83"/>
        <v>-10000</v>
      </c>
      <c r="Y368" s="140">
        <f t="shared" si="84"/>
        <v>-0.16666666666666666</v>
      </c>
      <c r="Z368" s="519">
        <v>51451.41</v>
      </c>
      <c r="AA368" s="111">
        <f t="shared" si="73"/>
        <v>68601.88</v>
      </c>
      <c r="AB368" s="111">
        <f t="shared" si="74"/>
        <v>-8601.8800000000047</v>
      </c>
    </row>
    <row r="369" spans="1:28" ht="18" customHeight="1">
      <c r="A369" s="114" t="s">
        <v>2193</v>
      </c>
      <c r="B369" s="125" t="s">
        <v>2739</v>
      </c>
      <c r="C369" s="97" t="s">
        <v>2866</v>
      </c>
      <c r="D369" s="97" t="s">
        <v>2631</v>
      </c>
      <c r="E369" s="559" t="s">
        <v>2195</v>
      </c>
      <c r="F369" s="540" t="s">
        <v>2194</v>
      </c>
      <c r="G369" s="555" t="s">
        <v>433</v>
      </c>
      <c r="H369" s="555" t="s">
        <v>3738</v>
      </c>
      <c r="I369" s="556" t="s">
        <v>3739</v>
      </c>
      <c r="J369" s="557" t="s">
        <v>1775</v>
      </c>
      <c r="K369" s="558" t="s">
        <v>1779</v>
      </c>
      <c r="L369" s="95"/>
      <c r="M369" s="104"/>
      <c r="N369" s="137">
        <v>708326.35</v>
      </c>
      <c r="O369" s="138">
        <v>0</v>
      </c>
      <c r="P369" s="138">
        <v>0</v>
      </c>
      <c r="Q369" s="138">
        <v>0</v>
      </c>
      <c r="R369" s="138">
        <v>0</v>
      </c>
      <c r="S369" s="139">
        <v>0</v>
      </c>
      <c r="T369" s="322">
        <f t="shared" si="80"/>
        <v>-708326.35</v>
      </c>
      <c r="U369" s="140">
        <f t="shared" si="81"/>
        <v>-1</v>
      </c>
      <c r="V369" s="322">
        <f t="shared" si="72"/>
        <v>0</v>
      </c>
      <c r="W369" s="140" t="str">
        <f t="shared" si="82"/>
        <v/>
      </c>
      <c r="X369" s="322">
        <f t="shared" si="83"/>
        <v>0</v>
      </c>
      <c r="Y369" s="140" t="str">
        <f t="shared" si="84"/>
        <v/>
      </c>
      <c r="Z369" s="519">
        <v>0</v>
      </c>
      <c r="AA369" s="111">
        <f t="shared" si="73"/>
        <v>0</v>
      </c>
      <c r="AB369" s="111">
        <f t="shared" si="74"/>
        <v>0</v>
      </c>
    </row>
    <row r="370" spans="1:28" ht="28.5" customHeight="1">
      <c r="A370" s="117" t="s">
        <v>2196</v>
      </c>
      <c r="B370" s="127" t="s">
        <v>2739</v>
      </c>
      <c r="C370" s="99" t="s">
        <v>2867</v>
      </c>
      <c r="D370" s="99" t="s">
        <v>3185</v>
      </c>
      <c r="E370" s="534" t="s">
        <v>2198</v>
      </c>
      <c r="F370" s="534" t="s">
        <v>2197</v>
      </c>
      <c r="G370" s="555"/>
      <c r="H370" s="555"/>
      <c r="I370" s="556"/>
      <c r="J370" s="557"/>
      <c r="K370" s="558"/>
      <c r="L370" s="95"/>
      <c r="M370" s="104"/>
      <c r="N370" s="137">
        <v>0</v>
      </c>
      <c r="O370" s="138">
        <v>0</v>
      </c>
      <c r="P370" s="138">
        <v>0</v>
      </c>
      <c r="Q370" s="138">
        <v>0</v>
      </c>
      <c r="R370" s="138">
        <v>0</v>
      </c>
      <c r="S370" s="139">
        <v>0</v>
      </c>
      <c r="T370" s="322">
        <f t="shared" si="80"/>
        <v>0</v>
      </c>
      <c r="U370" s="140" t="str">
        <f t="shared" si="81"/>
        <v/>
      </c>
      <c r="V370" s="322">
        <f t="shared" si="72"/>
        <v>0</v>
      </c>
      <c r="W370" s="140" t="str">
        <f t="shared" si="82"/>
        <v/>
      </c>
      <c r="X370" s="322">
        <f t="shared" si="83"/>
        <v>0</v>
      </c>
      <c r="Y370" s="140" t="str">
        <f t="shared" si="84"/>
        <v/>
      </c>
      <c r="Z370" s="519">
        <v>0</v>
      </c>
      <c r="AA370" s="111">
        <f t="shared" si="73"/>
        <v>0</v>
      </c>
      <c r="AB370" s="111">
        <f t="shared" si="74"/>
        <v>0</v>
      </c>
    </row>
    <row r="371" spans="1:28" ht="28.5" customHeight="1">
      <c r="A371" s="116" t="s">
        <v>2199</v>
      </c>
      <c r="B371" s="126" t="s">
        <v>2739</v>
      </c>
      <c r="C371" s="98" t="s">
        <v>2867</v>
      </c>
      <c r="D371" s="98" t="s">
        <v>3183</v>
      </c>
      <c r="E371" s="540" t="s">
        <v>2198</v>
      </c>
      <c r="F371" s="540" t="s">
        <v>2197</v>
      </c>
      <c r="G371" s="555" t="s">
        <v>1197</v>
      </c>
      <c r="H371" s="555" t="s">
        <v>3737</v>
      </c>
      <c r="I371" s="556" t="s">
        <v>2746</v>
      </c>
      <c r="J371" s="557" t="s">
        <v>196</v>
      </c>
      <c r="K371" s="558" t="s">
        <v>2890</v>
      </c>
      <c r="L371" s="95"/>
      <c r="M371" s="104"/>
      <c r="N371" s="137">
        <v>4085.48</v>
      </c>
      <c r="O371" s="138">
        <v>6000</v>
      </c>
      <c r="P371" s="138">
        <v>4000</v>
      </c>
      <c r="Q371" s="138">
        <v>6000</v>
      </c>
      <c r="R371" s="138">
        <v>6000</v>
      </c>
      <c r="S371" s="139">
        <v>6000</v>
      </c>
      <c r="T371" s="322">
        <f t="shared" si="80"/>
        <v>1914.52</v>
      </c>
      <c r="U371" s="140">
        <f t="shared" si="81"/>
        <v>0.46861568285733868</v>
      </c>
      <c r="V371" s="322">
        <f t="shared" si="72"/>
        <v>0</v>
      </c>
      <c r="W371" s="140">
        <f t="shared" si="82"/>
        <v>0</v>
      </c>
      <c r="X371" s="322">
        <f t="shared" si="83"/>
        <v>2000</v>
      </c>
      <c r="Y371" s="140">
        <f t="shared" si="84"/>
        <v>0.5</v>
      </c>
      <c r="Z371" s="519">
        <v>1834.42</v>
      </c>
      <c r="AA371" s="111">
        <f t="shared" si="73"/>
        <v>2445.8933333333334</v>
      </c>
      <c r="AB371" s="111">
        <f t="shared" si="74"/>
        <v>1554.1066666666666</v>
      </c>
    </row>
    <row r="372" spans="1:28" ht="18" customHeight="1">
      <c r="A372" s="115" t="s">
        <v>2200</v>
      </c>
      <c r="B372" s="124" t="s">
        <v>2739</v>
      </c>
      <c r="C372" s="101" t="s">
        <v>3190</v>
      </c>
      <c r="D372" s="101" t="s">
        <v>3185</v>
      </c>
      <c r="E372" s="554" t="s">
        <v>2202</v>
      </c>
      <c r="F372" s="534" t="s">
        <v>2201</v>
      </c>
      <c r="G372" s="555"/>
      <c r="H372" s="555"/>
      <c r="I372" s="556"/>
      <c r="J372" s="557"/>
      <c r="K372" s="558"/>
      <c r="L372" s="95"/>
      <c r="M372" s="104"/>
      <c r="N372" s="137">
        <v>0</v>
      </c>
      <c r="O372" s="138">
        <v>0</v>
      </c>
      <c r="P372" s="138">
        <v>0</v>
      </c>
      <c r="Q372" s="138">
        <v>0</v>
      </c>
      <c r="R372" s="138">
        <v>0</v>
      </c>
      <c r="S372" s="139">
        <v>0</v>
      </c>
      <c r="T372" s="322">
        <f t="shared" si="80"/>
        <v>0</v>
      </c>
      <c r="U372" s="140" t="str">
        <f t="shared" si="81"/>
        <v/>
      </c>
      <c r="V372" s="322">
        <f t="shared" si="72"/>
        <v>0</v>
      </c>
      <c r="W372" s="140" t="str">
        <f t="shared" si="82"/>
        <v/>
      </c>
      <c r="X372" s="322">
        <f t="shared" si="83"/>
        <v>0</v>
      </c>
      <c r="Y372" s="140" t="str">
        <f t="shared" si="84"/>
        <v/>
      </c>
      <c r="Z372" s="519">
        <v>0</v>
      </c>
      <c r="AA372" s="111">
        <f t="shared" si="73"/>
        <v>0</v>
      </c>
      <c r="AB372" s="111">
        <f t="shared" si="74"/>
        <v>0</v>
      </c>
    </row>
    <row r="373" spans="1:28" ht="18" customHeight="1">
      <c r="A373" s="114" t="s">
        <v>2203</v>
      </c>
      <c r="B373" s="125" t="s">
        <v>2739</v>
      </c>
      <c r="C373" s="97" t="s">
        <v>3190</v>
      </c>
      <c r="D373" s="97" t="s">
        <v>3183</v>
      </c>
      <c r="E373" s="559" t="s">
        <v>2202</v>
      </c>
      <c r="F373" s="540" t="s">
        <v>2201</v>
      </c>
      <c r="G373" s="555" t="s">
        <v>909</v>
      </c>
      <c r="H373" s="555" t="s">
        <v>2757</v>
      </c>
      <c r="I373" s="556" t="s">
        <v>1267</v>
      </c>
      <c r="J373" s="557" t="s">
        <v>2876</v>
      </c>
      <c r="K373" s="558" t="s">
        <v>2877</v>
      </c>
      <c r="L373" s="95"/>
      <c r="M373" s="104"/>
      <c r="N373" s="137">
        <v>946439.89</v>
      </c>
      <c r="O373" s="138">
        <v>919000</v>
      </c>
      <c r="P373" s="138">
        <v>995000</v>
      </c>
      <c r="Q373" s="138">
        <v>1070000</v>
      </c>
      <c r="R373" s="138">
        <v>1070000</v>
      </c>
      <c r="S373" s="139">
        <v>1070000</v>
      </c>
      <c r="T373" s="322">
        <f t="shared" si="80"/>
        <v>123560.10999999999</v>
      </c>
      <c r="U373" s="140">
        <f t="shared" si="81"/>
        <v>0.13055251718099073</v>
      </c>
      <c r="V373" s="322">
        <f t="shared" si="72"/>
        <v>151000</v>
      </c>
      <c r="W373" s="140">
        <f t="shared" si="82"/>
        <v>0.16430903155603918</v>
      </c>
      <c r="X373" s="322">
        <f t="shared" si="83"/>
        <v>75000</v>
      </c>
      <c r="Y373" s="140">
        <f t="shared" si="84"/>
        <v>7.5376884422110546E-2</v>
      </c>
      <c r="Z373" s="519">
        <v>746291.01</v>
      </c>
      <c r="AA373" s="111">
        <f t="shared" si="73"/>
        <v>995054.68</v>
      </c>
      <c r="AB373" s="111">
        <f t="shared" si="74"/>
        <v>-54.680000000051223</v>
      </c>
    </row>
    <row r="374" spans="1:28" ht="18" customHeight="1">
      <c r="A374" s="115" t="s">
        <v>2204</v>
      </c>
      <c r="B374" s="124" t="s">
        <v>2739</v>
      </c>
      <c r="C374" s="101" t="s">
        <v>1263</v>
      </c>
      <c r="D374" s="101" t="s">
        <v>3185</v>
      </c>
      <c r="E374" s="554" t="s">
        <v>2206</v>
      </c>
      <c r="F374" s="534" t="s">
        <v>2205</v>
      </c>
      <c r="G374" s="555"/>
      <c r="H374" s="555"/>
      <c r="I374" s="556"/>
      <c r="J374" s="557"/>
      <c r="K374" s="558"/>
      <c r="L374" s="95"/>
      <c r="M374" s="104"/>
      <c r="N374" s="137">
        <v>0</v>
      </c>
      <c r="O374" s="138">
        <v>0</v>
      </c>
      <c r="P374" s="138">
        <v>0</v>
      </c>
      <c r="Q374" s="138">
        <v>0</v>
      </c>
      <c r="R374" s="138">
        <v>0</v>
      </c>
      <c r="S374" s="139">
        <v>0</v>
      </c>
      <c r="T374" s="322">
        <f t="shared" si="80"/>
        <v>0</v>
      </c>
      <c r="U374" s="140" t="str">
        <f t="shared" si="81"/>
        <v/>
      </c>
      <c r="V374" s="322">
        <f t="shared" si="72"/>
        <v>0</v>
      </c>
      <c r="W374" s="140" t="str">
        <f t="shared" si="82"/>
        <v/>
      </c>
      <c r="X374" s="322">
        <f t="shared" si="83"/>
        <v>0</v>
      </c>
      <c r="Y374" s="140" t="str">
        <f t="shared" si="84"/>
        <v/>
      </c>
      <c r="Z374" s="519">
        <v>0</v>
      </c>
      <c r="AA374" s="111">
        <f t="shared" si="73"/>
        <v>0</v>
      </c>
      <c r="AB374" s="111">
        <f t="shared" si="74"/>
        <v>0</v>
      </c>
    </row>
    <row r="375" spans="1:28" ht="18" customHeight="1">
      <c r="A375" s="114" t="s">
        <v>2207</v>
      </c>
      <c r="B375" s="125" t="s">
        <v>2739</v>
      </c>
      <c r="C375" s="97" t="s">
        <v>1263</v>
      </c>
      <c r="D375" s="97" t="s">
        <v>3183</v>
      </c>
      <c r="E375" s="559" t="s">
        <v>2206</v>
      </c>
      <c r="F375" s="540" t="s">
        <v>2205</v>
      </c>
      <c r="G375" s="555" t="s">
        <v>909</v>
      </c>
      <c r="H375" s="555" t="s">
        <v>2757</v>
      </c>
      <c r="I375" s="556" t="s">
        <v>1267</v>
      </c>
      <c r="J375" s="557" t="s">
        <v>2876</v>
      </c>
      <c r="K375" s="558" t="s">
        <v>2877</v>
      </c>
      <c r="L375" s="95"/>
      <c r="M375" s="104"/>
      <c r="N375" s="137">
        <v>1560.44</v>
      </c>
      <c r="O375" s="138">
        <v>2000</v>
      </c>
      <c r="P375" s="138">
        <v>2000</v>
      </c>
      <c r="Q375" s="138">
        <v>2000</v>
      </c>
      <c r="R375" s="138">
        <v>2000</v>
      </c>
      <c r="S375" s="139">
        <v>2000</v>
      </c>
      <c r="T375" s="322">
        <f t="shared" si="80"/>
        <v>439.55999999999995</v>
      </c>
      <c r="U375" s="140">
        <f t="shared" si="81"/>
        <v>0.28168977980569576</v>
      </c>
      <c r="V375" s="322">
        <f t="shared" si="72"/>
        <v>0</v>
      </c>
      <c r="W375" s="140">
        <f t="shared" si="82"/>
        <v>0</v>
      </c>
      <c r="X375" s="322">
        <f t="shared" si="83"/>
        <v>0</v>
      </c>
      <c r="Y375" s="140">
        <f t="shared" si="84"/>
        <v>0</v>
      </c>
      <c r="Z375" s="519">
        <v>842</v>
      </c>
      <c r="AA375" s="111">
        <f t="shared" si="73"/>
        <v>1122.6666666666667</v>
      </c>
      <c r="AB375" s="111">
        <f t="shared" si="74"/>
        <v>877.33333333333326</v>
      </c>
    </row>
    <row r="376" spans="1:28" ht="18" customHeight="1">
      <c r="A376" s="115" t="s">
        <v>2208</v>
      </c>
      <c r="B376" s="124" t="s">
        <v>2739</v>
      </c>
      <c r="C376" s="101" t="s">
        <v>3191</v>
      </c>
      <c r="D376" s="101" t="s">
        <v>3185</v>
      </c>
      <c r="E376" s="554" t="s">
        <v>2209</v>
      </c>
      <c r="F376" s="534" t="s">
        <v>3740</v>
      </c>
      <c r="G376" s="555"/>
      <c r="H376" s="555"/>
      <c r="I376" s="556"/>
      <c r="J376" s="557"/>
      <c r="K376" s="558"/>
      <c r="L376" s="95"/>
      <c r="M376" s="104"/>
      <c r="N376" s="137">
        <v>0</v>
      </c>
      <c r="O376" s="138">
        <v>0</v>
      </c>
      <c r="P376" s="138">
        <v>0</v>
      </c>
      <c r="Q376" s="138">
        <v>0</v>
      </c>
      <c r="R376" s="138">
        <v>0</v>
      </c>
      <c r="S376" s="139">
        <v>0</v>
      </c>
      <c r="T376" s="322">
        <f t="shared" si="80"/>
        <v>0</v>
      </c>
      <c r="U376" s="140" t="str">
        <f t="shared" si="81"/>
        <v/>
      </c>
      <c r="V376" s="322">
        <f t="shared" si="72"/>
        <v>0</v>
      </c>
      <c r="W376" s="140" t="str">
        <f t="shared" si="82"/>
        <v/>
      </c>
      <c r="X376" s="322">
        <f t="shared" si="83"/>
        <v>0</v>
      </c>
      <c r="Y376" s="140" t="str">
        <f t="shared" si="84"/>
        <v/>
      </c>
      <c r="Z376" s="519">
        <v>0</v>
      </c>
      <c r="AA376" s="111">
        <f t="shared" si="73"/>
        <v>0</v>
      </c>
      <c r="AB376" s="111">
        <f t="shared" si="74"/>
        <v>0</v>
      </c>
    </row>
    <row r="377" spans="1:28" ht="18" customHeight="1">
      <c r="A377" s="114" t="s">
        <v>2210</v>
      </c>
      <c r="B377" s="125" t="s">
        <v>2739</v>
      </c>
      <c r="C377" s="97" t="s">
        <v>3191</v>
      </c>
      <c r="D377" s="97" t="s">
        <v>3183</v>
      </c>
      <c r="E377" s="559" t="s">
        <v>2209</v>
      </c>
      <c r="F377" s="540" t="s">
        <v>3740</v>
      </c>
      <c r="G377" s="555" t="s">
        <v>909</v>
      </c>
      <c r="H377" s="555" t="s">
        <v>2757</v>
      </c>
      <c r="I377" s="556" t="s">
        <v>1267</v>
      </c>
      <c r="J377" s="557" t="s">
        <v>2876</v>
      </c>
      <c r="K377" s="558" t="s">
        <v>2877</v>
      </c>
      <c r="L377" s="95"/>
      <c r="M377" s="104"/>
      <c r="N377" s="137">
        <v>405586.60000000003</v>
      </c>
      <c r="O377" s="138">
        <v>394000</v>
      </c>
      <c r="P377" s="138">
        <v>407000</v>
      </c>
      <c r="Q377" s="138">
        <v>411000</v>
      </c>
      <c r="R377" s="138">
        <v>415000</v>
      </c>
      <c r="S377" s="139">
        <v>419000</v>
      </c>
      <c r="T377" s="322">
        <f t="shared" si="80"/>
        <v>5413.3999999999651</v>
      </c>
      <c r="U377" s="140">
        <f t="shared" si="81"/>
        <v>1.3347087896888024E-2</v>
      </c>
      <c r="V377" s="322">
        <f t="shared" si="72"/>
        <v>17000</v>
      </c>
      <c r="W377" s="140">
        <f t="shared" si="82"/>
        <v>4.3147208121827409E-2</v>
      </c>
      <c r="X377" s="322">
        <f t="shared" si="83"/>
        <v>4000</v>
      </c>
      <c r="Y377" s="140">
        <f t="shared" si="84"/>
        <v>9.8280098280098278E-3</v>
      </c>
      <c r="Z377" s="519">
        <v>305596.71999999997</v>
      </c>
      <c r="AA377" s="111">
        <f t="shared" si="73"/>
        <v>407462.29333333328</v>
      </c>
      <c r="AB377" s="111">
        <f t="shared" si="74"/>
        <v>-462.29333333327668</v>
      </c>
    </row>
    <row r="378" spans="1:28" ht="18" customHeight="1">
      <c r="A378" s="115" t="s">
        <v>2211</v>
      </c>
      <c r="B378" s="124" t="s">
        <v>2739</v>
      </c>
      <c r="C378" s="101" t="s">
        <v>3281</v>
      </c>
      <c r="D378" s="101" t="s">
        <v>3185</v>
      </c>
      <c r="E378" s="554" t="s">
        <v>2213</v>
      </c>
      <c r="F378" s="534" t="s">
        <v>2212</v>
      </c>
      <c r="G378" s="555"/>
      <c r="H378" s="555"/>
      <c r="I378" s="556"/>
      <c r="J378" s="557"/>
      <c r="K378" s="558"/>
      <c r="L378" s="95"/>
      <c r="M378" s="104"/>
      <c r="N378" s="137">
        <v>0</v>
      </c>
      <c r="O378" s="138">
        <v>0</v>
      </c>
      <c r="P378" s="138">
        <v>0</v>
      </c>
      <c r="Q378" s="138">
        <v>0</v>
      </c>
      <c r="R378" s="138">
        <v>0</v>
      </c>
      <c r="S378" s="139">
        <v>0</v>
      </c>
      <c r="T378" s="322">
        <f t="shared" si="80"/>
        <v>0</v>
      </c>
      <c r="U378" s="140" t="str">
        <f t="shared" si="81"/>
        <v/>
      </c>
      <c r="V378" s="322">
        <f t="shared" si="72"/>
        <v>0</v>
      </c>
      <c r="W378" s="140" t="str">
        <f t="shared" si="82"/>
        <v/>
      </c>
      <c r="X378" s="322">
        <f t="shared" si="83"/>
        <v>0</v>
      </c>
      <c r="Y378" s="140" t="str">
        <f t="shared" si="84"/>
        <v/>
      </c>
      <c r="Z378" s="519">
        <v>0</v>
      </c>
      <c r="AA378" s="111">
        <f t="shared" si="73"/>
        <v>0</v>
      </c>
      <c r="AB378" s="111">
        <f t="shared" si="74"/>
        <v>0</v>
      </c>
    </row>
    <row r="379" spans="1:28" ht="28.5" customHeight="1">
      <c r="A379" s="114" t="s">
        <v>2214</v>
      </c>
      <c r="B379" s="125" t="s">
        <v>2739</v>
      </c>
      <c r="C379" s="97" t="s">
        <v>3281</v>
      </c>
      <c r="D379" s="97" t="s">
        <v>3183</v>
      </c>
      <c r="E379" s="559" t="s">
        <v>2216</v>
      </c>
      <c r="F379" s="540" t="s">
        <v>2215</v>
      </c>
      <c r="G379" s="555" t="s">
        <v>899</v>
      </c>
      <c r="H379" s="555" t="s">
        <v>3741</v>
      </c>
      <c r="I379" s="556" t="s">
        <v>2217</v>
      </c>
      <c r="J379" s="557" t="s">
        <v>2876</v>
      </c>
      <c r="K379" s="558" t="s">
        <v>2877</v>
      </c>
      <c r="L379" s="95"/>
      <c r="M379" s="104"/>
      <c r="N379" s="137">
        <v>7422492.3099999996</v>
      </c>
      <c r="O379" s="138">
        <v>7739000</v>
      </c>
      <c r="P379" s="138">
        <v>7469000</v>
      </c>
      <c r="Q379" s="138">
        <v>7445000</v>
      </c>
      <c r="R379" s="138">
        <v>7490000</v>
      </c>
      <c r="S379" s="139">
        <v>7500000</v>
      </c>
      <c r="T379" s="322">
        <f t="shared" si="80"/>
        <v>22507.69000000041</v>
      </c>
      <c r="U379" s="140">
        <f t="shared" si="81"/>
        <v>3.0323628587229094E-3</v>
      </c>
      <c r="V379" s="322">
        <f t="shared" si="72"/>
        <v>-294000</v>
      </c>
      <c r="W379" s="140">
        <f t="shared" si="82"/>
        <v>-3.7989404315803076E-2</v>
      </c>
      <c r="X379" s="322">
        <f t="shared" si="83"/>
        <v>-24000</v>
      </c>
      <c r="Y379" s="140">
        <f t="shared" si="84"/>
        <v>-3.2132815637970279E-3</v>
      </c>
      <c r="Z379" s="519">
        <v>5601590.5800000001</v>
      </c>
      <c r="AA379" s="111">
        <f t="shared" si="73"/>
        <v>7468787.4400000004</v>
      </c>
      <c r="AB379" s="111">
        <f t="shared" si="74"/>
        <v>212.55999999959022</v>
      </c>
    </row>
    <row r="380" spans="1:28" ht="15.75" customHeight="1">
      <c r="A380" s="114" t="s">
        <v>2218</v>
      </c>
      <c r="B380" s="125" t="s">
        <v>2739</v>
      </c>
      <c r="C380" s="97" t="s">
        <v>3281</v>
      </c>
      <c r="D380" s="97" t="s">
        <v>3193</v>
      </c>
      <c r="E380" s="559" t="s">
        <v>2220</v>
      </c>
      <c r="F380" s="540" t="s">
        <v>2219</v>
      </c>
      <c r="G380" s="555" t="s">
        <v>901</v>
      </c>
      <c r="H380" s="555" t="s">
        <v>3742</v>
      </c>
      <c r="I380" s="556" t="s">
        <v>2221</v>
      </c>
      <c r="J380" s="557" t="s">
        <v>2876</v>
      </c>
      <c r="K380" s="558" t="s">
        <v>2877</v>
      </c>
      <c r="L380" s="95"/>
      <c r="M380" s="104"/>
      <c r="N380" s="137">
        <v>120934.51</v>
      </c>
      <c r="O380" s="138">
        <v>122000</v>
      </c>
      <c r="P380" s="138">
        <v>140000</v>
      </c>
      <c r="Q380" s="138">
        <v>140000</v>
      </c>
      <c r="R380" s="138">
        <v>140000</v>
      </c>
      <c r="S380" s="139">
        <v>140000</v>
      </c>
      <c r="T380" s="322">
        <f t="shared" si="80"/>
        <v>19065.490000000005</v>
      </c>
      <c r="U380" s="140">
        <f t="shared" si="81"/>
        <v>0.1576513602279449</v>
      </c>
      <c r="V380" s="322">
        <f t="shared" si="72"/>
        <v>18000</v>
      </c>
      <c r="W380" s="140">
        <f t="shared" si="82"/>
        <v>0.14754098360655737</v>
      </c>
      <c r="X380" s="322">
        <f t="shared" si="83"/>
        <v>0</v>
      </c>
      <c r="Y380" s="140">
        <f t="shared" si="84"/>
        <v>0</v>
      </c>
      <c r="Z380" s="519">
        <v>104600.06</v>
      </c>
      <c r="AA380" s="111">
        <f t="shared" si="73"/>
        <v>139466.74666666667</v>
      </c>
      <c r="AB380" s="111">
        <f t="shared" si="74"/>
        <v>533.25333333332674</v>
      </c>
    </row>
    <row r="381" spans="1:28" ht="28.5" customHeight="1">
      <c r="A381" s="115" t="s">
        <v>2222</v>
      </c>
      <c r="B381" s="124" t="s">
        <v>2739</v>
      </c>
      <c r="C381" s="101" t="s">
        <v>3194</v>
      </c>
      <c r="D381" s="101" t="s">
        <v>3185</v>
      </c>
      <c r="E381" s="554" t="s">
        <v>2224</v>
      </c>
      <c r="F381" s="534" t="s">
        <v>2223</v>
      </c>
      <c r="G381" s="555"/>
      <c r="H381" s="555"/>
      <c r="I381" s="556"/>
      <c r="J381" s="557"/>
      <c r="K381" s="558"/>
      <c r="L381" s="95"/>
      <c r="M381" s="104"/>
      <c r="N381" s="137">
        <v>0</v>
      </c>
      <c r="O381" s="138">
        <v>0</v>
      </c>
      <c r="P381" s="138">
        <v>0</v>
      </c>
      <c r="Q381" s="138">
        <v>0</v>
      </c>
      <c r="R381" s="138">
        <v>0</v>
      </c>
      <c r="S381" s="139">
        <v>0</v>
      </c>
      <c r="T381" s="322">
        <f t="shared" si="80"/>
        <v>0</v>
      </c>
      <c r="U381" s="140" t="str">
        <f t="shared" si="81"/>
        <v/>
      </c>
      <c r="V381" s="322">
        <f t="shared" si="72"/>
        <v>0</v>
      </c>
      <c r="W381" s="140" t="str">
        <f t="shared" si="82"/>
        <v/>
      </c>
      <c r="X381" s="322">
        <f t="shared" si="83"/>
        <v>0</v>
      </c>
      <c r="Y381" s="140" t="str">
        <f t="shared" si="84"/>
        <v/>
      </c>
      <c r="Z381" s="519">
        <v>0</v>
      </c>
      <c r="AA381" s="111">
        <f t="shared" si="73"/>
        <v>0</v>
      </c>
      <c r="AB381" s="111">
        <f t="shared" si="74"/>
        <v>0</v>
      </c>
    </row>
    <row r="382" spans="1:28" ht="15.75" customHeight="1">
      <c r="A382" s="114" t="s">
        <v>2225</v>
      </c>
      <c r="B382" s="125" t="s">
        <v>2739</v>
      </c>
      <c r="C382" s="97" t="s">
        <v>3194</v>
      </c>
      <c r="D382" s="97" t="s">
        <v>3183</v>
      </c>
      <c r="E382" s="559" t="s">
        <v>2224</v>
      </c>
      <c r="F382" s="540" t="s">
        <v>2223</v>
      </c>
      <c r="G382" s="555" t="s">
        <v>909</v>
      </c>
      <c r="H382" s="555" t="s">
        <v>2757</v>
      </c>
      <c r="I382" s="556" t="s">
        <v>1267</v>
      </c>
      <c r="J382" s="557" t="s">
        <v>2876</v>
      </c>
      <c r="K382" s="558" t="s">
        <v>2877</v>
      </c>
      <c r="L382" s="95"/>
      <c r="M382" s="104"/>
      <c r="N382" s="137">
        <v>140042.39000000001</v>
      </c>
      <c r="O382" s="138">
        <v>172000</v>
      </c>
      <c r="P382" s="138">
        <v>172000</v>
      </c>
      <c r="Q382" s="138">
        <v>174000</v>
      </c>
      <c r="R382" s="138">
        <v>176000</v>
      </c>
      <c r="S382" s="139">
        <v>178000</v>
      </c>
      <c r="T382" s="322">
        <f t="shared" si="80"/>
        <v>33957.609999999986</v>
      </c>
      <c r="U382" s="140">
        <f t="shared" si="81"/>
        <v>0.24248093737903204</v>
      </c>
      <c r="V382" s="322">
        <f t="shared" si="72"/>
        <v>2000</v>
      </c>
      <c r="W382" s="140">
        <f t="shared" si="82"/>
        <v>1.1627906976744186E-2</v>
      </c>
      <c r="X382" s="322">
        <f t="shared" si="83"/>
        <v>2000</v>
      </c>
      <c r="Y382" s="140">
        <f t="shared" si="84"/>
        <v>1.1627906976744186E-2</v>
      </c>
      <c r="Z382" s="519">
        <v>129423.34</v>
      </c>
      <c r="AA382" s="111">
        <f t="shared" si="73"/>
        <v>172564.45333333334</v>
      </c>
      <c r="AB382" s="111">
        <f t="shared" si="74"/>
        <v>-564.45333333333838</v>
      </c>
    </row>
    <row r="383" spans="1:28" ht="15.75" customHeight="1">
      <c r="A383" s="115" t="s">
        <v>2226</v>
      </c>
      <c r="B383" s="124" t="s">
        <v>2739</v>
      </c>
      <c r="C383" s="101" t="s">
        <v>2227</v>
      </c>
      <c r="D383" s="101" t="s">
        <v>3185</v>
      </c>
      <c r="E383" s="554" t="s">
        <v>2229</v>
      </c>
      <c r="F383" s="534" t="s">
        <v>2228</v>
      </c>
      <c r="G383" s="555"/>
      <c r="H383" s="555"/>
      <c r="I383" s="556"/>
      <c r="J383" s="557"/>
      <c r="K383" s="558"/>
      <c r="L383" s="95"/>
      <c r="M383" s="104"/>
      <c r="N383" s="137">
        <v>0</v>
      </c>
      <c r="O383" s="138">
        <v>0</v>
      </c>
      <c r="P383" s="138">
        <v>0</v>
      </c>
      <c r="Q383" s="138">
        <v>0</v>
      </c>
      <c r="R383" s="138">
        <v>0</v>
      </c>
      <c r="S383" s="139">
        <v>0</v>
      </c>
      <c r="T383" s="322">
        <f t="shared" si="80"/>
        <v>0</v>
      </c>
      <c r="U383" s="140" t="str">
        <f t="shared" si="81"/>
        <v/>
      </c>
      <c r="V383" s="322">
        <f t="shared" si="72"/>
        <v>0</v>
      </c>
      <c r="W383" s="140" t="str">
        <f t="shared" si="82"/>
        <v/>
      </c>
      <c r="X383" s="322">
        <f t="shared" si="83"/>
        <v>0</v>
      </c>
      <c r="Y383" s="140" t="str">
        <f t="shared" si="84"/>
        <v/>
      </c>
      <c r="Z383" s="519">
        <v>0</v>
      </c>
      <c r="AA383" s="111">
        <f t="shared" si="73"/>
        <v>0</v>
      </c>
      <c r="AB383" s="111">
        <f t="shared" si="74"/>
        <v>0</v>
      </c>
    </row>
    <row r="384" spans="1:28" ht="15.75" customHeight="1">
      <c r="A384" s="114" t="s">
        <v>2230</v>
      </c>
      <c r="B384" s="125" t="s">
        <v>2739</v>
      </c>
      <c r="C384" s="97" t="s">
        <v>2227</v>
      </c>
      <c r="D384" s="97" t="s">
        <v>3183</v>
      </c>
      <c r="E384" s="559" t="s">
        <v>2229</v>
      </c>
      <c r="F384" s="540" t="s">
        <v>2228</v>
      </c>
      <c r="G384" s="555" t="s">
        <v>909</v>
      </c>
      <c r="H384" s="555" t="s">
        <v>2757</v>
      </c>
      <c r="I384" s="556" t="s">
        <v>1267</v>
      </c>
      <c r="J384" s="557" t="s">
        <v>2876</v>
      </c>
      <c r="K384" s="558" t="s">
        <v>2877</v>
      </c>
      <c r="L384" s="95"/>
      <c r="M384" s="104"/>
      <c r="N384" s="137">
        <v>219565.8</v>
      </c>
      <c r="O384" s="138">
        <v>40000</v>
      </c>
      <c r="P384" s="138">
        <v>30000</v>
      </c>
      <c r="Q384" s="138">
        <v>450000</v>
      </c>
      <c r="R384" s="138">
        <v>500000</v>
      </c>
      <c r="S384" s="139">
        <v>550000</v>
      </c>
      <c r="T384" s="322">
        <f t="shared" si="80"/>
        <v>230434.2</v>
      </c>
      <c r="U384" s="140">
        <f t="shared" si="81"/>
        <v>1.0494995122191162</v>
      </c>
      <c r="V384" s="322">
        <f t="shared" si="72"/>
        <v>410000</v>
      </c>
      <c r="W384" s="140">
        <f t="shared" si="82"/>
        <v>10.25</v>
      </c>
      <c r="X384" s="322">
        <f t="shared" si="83"/>
        <v>420000</v>
      </c>
      <c r="Y384" s="140">
        <f t="shared" si="84"/>
        <v>14</v>
      </c>
      <c r="Z384" s="519">
        <v>18429.62</v>
      </c>
      <c r="AA384" s="111">
        <f t="shared" si="73"/>
        <v>24572.826666666664</v>
      </c>
      <c r="AB384" s="111">
        <f t="shared" si="74"/>
        <v>5427.1733333333359</v>
      </c>
    </row>
    <row r="385" spans="1:28" ht="15.75" customHeight="1">
      <c r="A385" s="115" t="s">
        <v>2231</v>
      </c>
      <c r="B385" s="124" t="s">
        <v>2739</v>
      </c>
      <c r="C385" s="101" t="s">
        <v>2629</v>
      </c>
      <c r="D385" s="101" t="s">
        <v>3185</v>
      </c>
      <c r="E385" s="554" t="s">
        <v>2233</v>
      </c>
      <c r="F385" s="534" t="s">
        <v>2232</v>
      </c>
      <c r="G385" s="555"/>
      <c r="H385" s="555"/>
      <c r="I385" s="556"/>
      <c r="J385" s="557"/>
      <c r="K385" s="558"/>
      <c r="L385" s="95"/>
      <c r="M385" s="104"/>
      <c r="N385" s="137">
        <v>0</v>
      </c>
      <c r="O385" s="138">
        <v>0</v>
      </c>
      <c r="P385" s="138">
        <v>0</v>
      </c>
      <c r="Q385" s="138">
        <v>0</v>
      </c>
      <c r="R385" s="138">
        <v>0</v>
      </c>
      <c r="S385" s="139">
        <v>0</v>
      </c>
      <c r="T385" s="322">
        <f t="shared" si="80"/>
        <v>0</v>
      </c>
      <c r="U385" s="140" t="str">
        <f t="shared" si="81"/>
        <v/>
      </c>
      <c r="V385" s="322">
        <f t="shared" si="72"/>
        <v>0</v>
      </c>
      <c r="W385" s="140" t="str">
        <f t="shared" si="82"/>
        <v/>
      </c>
      <c r="X385" s="322">
        <f t="shared" si="83"/>
        <v>0</v>
      </c>
      <c r="Y385" s="140" t="str">
        <f t="shared" si="84"/>
        <v/>
      </c>
      <c r="Z385" s="519">
        <v>0</v>
      </c>
      <c r="AA385" s="111">
        <f t="shared" si="73"/>
        <v>0</v>
      </c>
      <c r="AB385" s="111">
        <f t="shared" si="74"/>
        <v>0</v>
      </c>
    </row>
    <row r="386" spans="1:28" ht="15.75" customHeight="1">
      <c r="A386" s="114" t="s">
        <v>2234</v>
      </c>
      <c r="B386" s="125" t="s">
        <v>2739</v>
      </c>
      <c r="C386" s="97" t="s">
        <v>2629</v>
      </c>
      <c r="D386" s="97" t="s">
        <v>3183</v>
      </c>
      <c r="E386" s="559" t="s">
        <v>2233</v>
      </c>
      <c r="F386" s="540" t="s">
        <v>2232</v>
      </c>
      <c r="G386" s="555" t="s">
        <v>909</v>
      </c>
      <c r="H386" s="555" t="s">
        <v>2757</v>
      </c>
      <c r="I386" s="556" t="s">
        <v>1267</v>
      </c>
      <c r="J386" s="557" t="s">
        <v>2876</v>
      </c>
      <c r="K386" s="558" t="s">
        <v>2877</v>
      </c>
      <c r="L386" s="95"/>
      <c r="M386" s="104"/>
      <c r="N386" s="137">
        <v>749235.81</v>
      </c>
      <c r="O386" s="138">
        <v>1221500</v>
      </c>
      <c r="P386" s="138">
        <v>1222000</v>
      </c>
      <c r="Q386" s="138">
        <v>1221500</v>
      </c>
      <c r="R386" s="138">
        <v>1229500</v>
      </c>
      <c r="S386" s="139">
        <v>1132500</v>
      </c>
      <c r="T386" s="322">
        <f t="shared" si="80"/>
        <v>472264.18999999994</v>
      </c>
      <c r="U386" s="140">
        <f t="shared" si="81"/>
        <v>0.63032784030971489</v>
      </c>
      <c r="V386" s="322">
        <f t="shared" si="72"/>
        <v>0</v>
      </c>
      <c r="W386" s="140">
        <f t="shared" si="82"/>
        <v>0</v>
      </c>
      <c r="X386" s="322">
        <f t="shared" si="83"/>
        <v>-500</v>
      </c>
      <c r="Y386" s="140">
        <f t="shared" si="84"/>
        <v>-4.0916530278232408E-4</v>
      </c>
      <c r="Z386" s="519">
        <v>916547.7</v>
      </c>
      <c r="AA386" s="111">
        <f t="shared" si="73"/>
        <v>1222063.5999999999</v>
      </c>
      <c r="AB386" s="111">
        <f t="shared" si="74"/>
        <v>-63.599999999860302</v>
      </c>
    </row>
    <row r="387" spans="1:28" ht="15.75" customHeight="1">
      <c r="A387" s="115" t="s">
        <v>2235</v>
      </c>
      <c r="B387" s="124" t="s">
        <v>2739</v>
      </c>
      <c r="C387" s="101" t="s">
        <v>2139</v>
      </c>
      <c r="D387" s="101" t="s">
        <v>3185</v>
      </c>
      <c r="E387" s="534" t="s">
        <v>2237</v>
      </c>
      <c r="F387" s="534" t="s">
        <v>2236</v>
      </c>
      <c r="G387" s="555"/>
      <c r="H387" s="555"/>
      <c r="I387" s="556"/>
      <c r="J387" s="557"/>
      <c r="K387" s="558"/>
      <c r="L387" s="95"/>
      <c r="M387" s="104"/>
      <c r="N387" s="137">
        <v>0</v>
      </c>
      <c r="O387" s="138">
        <v>0</v>
      </c>
      <c r="P387" s="138">
        <v>0</v>
      </c>
      <c r="Q387" s="138">
        <v>0</v>
      </c>
      <c r="R387" s="138">
        <v>0</v>
      </c>
      <c r="S387" s="139">
        <v>0</v>
      </c>
      <c r="T387" s="322">
        <f t="shared" si="80"/>
        <v>0</v>
      </c>
      <c r="U387" s="140" t="str">
        <f t="shared" si="81"/>
        <v/>
      </c>
      <c r="V387" s="322">
        <f t="shared" si="72"/>
        <v>0</v>
      </c>
      <c r="W387" s="140" t="str">
        <f t="shared" si="82"/>
        <v/>
      </c>
      <c r="X387" s="322">
        <f t="shared" si="83"/>
        <v>0</v>
      </c>
      <c r="Y387" s="140" t="str">
        <f t="shared" si="84"/>
        <v/>
      </c>
      <c r="Z387" s="519">
        <v>0</v>
      </c>
      <c r="AA387" s="111">
        <f t="shared" si="73"/>
        <v>0</v>
      </c>
      <c r="AB387" s="111">
        <f t="shared" si="74"/>
        <v>0</v>
      </c>
    </row>
    <row r="388" spans="1:28" ht="15.75" customHeight="1">
      <c r="A388" s="114" t="s">
        <v>2238</v>
      </c>
      <c r="B388" s="125" t="s">
        <v>2739</v>
      </c>
      <c r="C388" s="97" t="s">
        <v>2139</v>
      </c>
      <c r="D388" s="97" t="s">
        <v>3183</v>
      </c>
      <c r="E388" s="559" t="s">
        <v>2237</v>
      </c>
      <c r="F388" s="540" t="s">
        <v>2236</v>
      </c>
      <c r="G388" s="555" t="s">
        <v>1197</v>
      </c>
      <c r="H388" s="555" t="s">
        <v>3737</v>
      </c>
      <c r="I388" s="556" t="s">
        <v>2746</v>
      </c>
      <c r="J388" s="557" t="s">
        <v>196</v>
      </c>
      <c r="K388" s="558" t="s">
        <v>2890</v>
      </c>
      <c r="L388" s="95"/>
      <c r="M388" s="104"/>
      <c r="N388" s="137">
        <v>73195.69</v>
      </c>
      <c r="O388" s="138">
        <v>163500</v>
      </c>
      <c r="P388" s="138">
        <v>164000</v>
      </c>
      <c r="Q388" s="138">
        <v>163500</v>
      </c>
      <c r="R388" s="138">
        <v>163500</v>
      </c>
      <c r="S388" s="139">
        <v>163500</v>
      </c>
      <c r="T388" s="322">
        <f t="shared" ref="T388" si="85">IF(N388="","",Q388-N388)</f>
        <v>90304.31</v>
      </c>
      <c r="U388" s="140">
        <f t="shared" ref="U388" si="86">IF(N388=0,"",T388/N388)</f>
        <v>1.2337380793869146</v>
      </c>
      <c r="V388" s="322">
        <f t="shared" si="72"/>
        <v>0</v>
      </c>
      <c r="W388" s="140">
        <f t="shared" ref="W388" si="87">IF(O388=0,"",V388/O388)</f>
        <v>0</v>
      </c>
      <c r="X388" s="322">
        <f t="shared" ref="X388" si="88">IF(P388="","",Q388-P388)</f>
        <v>-500</v>
      </c>
      <c r="Y388" s="140">
        <f t="shared" ref="Y388" si="89">IF(P388=0,"",X388/P388)</f>
        <v>-3.0487804878048782E-3</v>
      </c>
      <c r="Z388" s="519">
        <v>123278.18</v>
      </c>
      <c r="AA388" s="111">
        <f t="shared" si="73"/>
        <v>164370.90666666665</v>
      </c>
      <c r="AB388" s="111">
        <f t="shared" si="74"/>
        <v>-370.90666666664765</v>
      </c>
    </row>
    <row r="389" spans="1:28" ht="27" customHeight="1">
      <c r="A389" s="114" t="s">
        <v>4998</v>
      </c>
      <c r="B389" s="305" t="s">
        <v>2739</v>
      </c>
      <c r="C389" s="306" t="s">
        <v>2139</v>
      </c>
      <c r="D389" s="306" t="s">
        <v>1378</v>
      </c>
      <c r="E389" s="561" t="s">
        <v>4999</v>
      </c>
      <c r="F389" s="561" t="s">
        <v>5321</v>
      </c>
      <c r="G389" s="548" t="s">
        <v>4819</v>
      </c>
      <c r="H389" s="548" t="s">
        <v>5000</v>
      </c>
      <c r="I389" s="549" t="s">
        <v>5001</v>
      </c>
      <c r="J389" s="550" t="s">
        <v>196</v>
      </c>
      <c r="K389" s="551" t="s">
        <v>2890</v>
      </c>
      <c r="L389" s="95"/>
      <c r="M389" s="104"/>
      <c r="N389" s="137">
        <v>0</v>
      </c>
      <c r="O389" s="138">
        <v>0</v>
      </c>
      <c r="P389" s="138">
        <v>0</v>
      </c>
      <c r="Q389" s="138">
        <v>0</v>
      </c>
      <c r="R389" s="138">
        <v>0</v>
      </c>
      <c r="S389" s="139">
        <v>0</v>
      </c>
      <c r="T389" s="322">
        <f t="shared" si="80"/>
        <v>0</v>
      </c>
      <c r="U389" s="140" t="str">
        <f t="shared" si="81"/>
        <v/>
      </c>
      <c r="V389" s="322">
        <f t="shared" si="72"/>
        <v>0</v>
      </c>
      <c r="W389" s="140" t="str">
        <f t="shared" si="82"/>
        <v/>
      </c>
      <c r="X389" s="322">
        <f t="shared" si="83"/>
        <v>0</v>
      </c>
      <c r="Y389" s="140" t="str">
        <f t="shared" si="84"/>
        <v/>
      </c>
      <c r="Z389" s="519">
        <v>0</v>
      </c>
      <c r="AA389" s="111">
        <f t="shared" si="73"/>
        <v>0</v>
      </c>
      <c r="AB389" s="111">
        <f t="shared" si="74"/>
        <v>0</v>
      </c>
    </row>
    <row r="390" spans="1:28" ht="15.75" customHeight="1">
      <c r="A390" s="113" t="s">
        <v>2239</v>
      </c>
      <c r="B390" s="135" t="s">
        <v>2240</v>
      </c>
      <c r="C390" s="136" t="s">
        <v>3184</v>
      </c>
      <c r="D390" s="136" t="s">
        <v>3185</v>
      </c>
      <c r="E390" s="529" t="s">
        <v>2242</v>
      </c>
      <c r="F390" s="529" t="s">
        <v>2241</v>
      </c>
      <c r="G390" s="530"/>
      <c r="H390" s="530"/>
      <c r="I390" s="531"/>
      <c r="J390" s="532"/>
      <c r="K390" s="533"/>
      <c r="L390" s="95"/>
      <c r="M390" s="147"/>
      <c r="N390" s="137">
        <v>0</v>
      </c>
      <c r="O390" s="138">
        <v>0</v>
      </c>
      <c r="P390" s="138">
        <v>0</v>
      </c>
      <c r="Q390" s="138">
        <v>0</v>
      </c>
      <c r="R390" s="138">
        <v>0</v>
      </c>
      <c r="S390" s="139">
        <v>0</v>
      </c>
      <c r="T390" s="322">
        <f t="shared" si="80"/>
        <v>0</v>
      </c>
      <c r="U390" s="140" t="str">
        <f t="shared" si="81"/>
        <v/>
      </c>
      <c r="V390" s="322">
        <f t="shared" si="72"/>
        <v>0</v>
      </c>
      <c r="W390" s="140" t="str">
        <f t="shared" si="82"/>
        <v/>
      </c>
      <c r="X390" s="322">
        <f t="shared" si="83"/>
        <v>0</v>
      </c>
      <c r="Y390" s="140" t="str">
        <f t="shared" si="84"/>
        <v/>
      </c>
      <c r="Z390" s="519">
        <v>0</v>
      </c>
      <c r="AA390" s="111">
        <f t="shared" si="73"/>
        <v>0</v>
      </c>
      <c r="AB390" s="111">
        <f t="shared" si="74"/>
        <v>0</v>
      </c>
    </row>
    <row r="391" spans="1:28" ht="24" customHeight="1">
      <c r="A391" s="115" t="s">
        <v>2243</v>
      </c>
      <c r="B391" s="124" t="s">
        <v>2240</v>
      </c>
      <c r="C391" s="101" t="s">
        <v>3186</v>
      </c>
      <c r="D391" s="101" t="s">
        <v>3185</v>
      </c>
      <c r="E391" s="554" t="s">
        <v>2245</v>
      </c>
      <c r="F391" s="534" t="s">
        <v>2244</v>
      </c>
      <c r="G391" s="555"/>
      <c r="H391" s="555"/>
      <c r="I391" s="556"/>
      <c r="J391" s="557"/>
      <c r="K391" s="558"/>
      <c r="L391" s="95"/>
      <c r="M391" s="104"/>
      <c r="N391" s="137">
        <v>0</v>
      </c>
      <c r="O391" s="138">
        <v>0</v>
      </c>
      <c r="P391" s="138">
        <v>0</v>
      </c>
      <c r="Q391" s="138">
        <v>0</v>
      </c>
      <c r="R391" s="138">
        <v>0</v>
      </c>
      <c r="S391" s="139">
        <v>0</v>
      </c>
      <c r="T391" s="322">
        <f t="shared" si="80"/>
        <v>0</v>
      </c>
      <c r="U391" s="140" t="str">
        <f t="shared" si="81"/>
        <v/>
      </c>
      <c r="V391" s="322">
        <f t="shared" si="72"/>
        <v>0</v>
      </c>
      <c r="W391" s="140" t="str">
        <f t="shared" si="82"/>
        <v/>
      </c>
      <c r="X391" s="322">
        <f t="shared" si="83"/>
        <v>0</v>
      </c>
      <c r="Y391" s="140" t="str">
        <f t="shared" si="84"/>
        <v/>
      </c>
      <c r="Z391" s="519">
        <v>0</v>
      </c>
      <c r="AA391" s="111">
        <f t="shared" si="73"/>
        <v>0</v>
      </c>
      <c r="AB391" s="111">
        <f t="shared" si="74"/>
        <v>0</v>
      </c>
    </row>
    <row r="392" spans="1:28" ht="28.5" customHeight="1">
      <c r="A392" s="114" t="s">
        <v>2246</v>
      </c>
      <c r="B392" s="125" t="s">
        <v>2240</v>
      </c>
      <c r="C392" s="97" t="s">
        <v>3186</v>
      </c>
      <c r="D392" s="97" t="s">
        <v>3183</v>
      </c>
      <c r="E392" s="559" t="s">
        <v>4024</v>
      </c>
      <c r="F392" s="540" t="s">
        <v>4025</v>
      </c>
      <c r="G392" s="555" t="s">
        <v>575</v>
      </c>
      <c r="H392" s="555" t="s">
        <v>3743</v>
      </c>
      <c r="I392" s="556" t="s">
        <v>4026</v>
      </c>
      <c r="J392" s="557" t="s">
        <v>1008</v>
      </c>
      <c r="K392" s="558" t="s">
        <v>2884</v>
      </c>
      <c r="L392" s="95"/>
      <c r="M392" s="104"/>
      <c r="N392" s="137">
        <v>109546227.23</v>
      </c>
      <c r="O392" s="138">
        <v>105674000</v>
      </c>
      <c r="P392" s="138">
        <v>110210000</v>
      </c>
      <c r="Q392" s="138">
        <f>113603000-1440000</f>
        <v>112163000</v>
      </c>
      <c r="R392" s="138">
        <f>118619000-1440000</f>
        <v>117179000</v>
      </c>
      <c r="S392" s="139">
        <f>122772000-1440000</f>
        <v>121332000</v>
      </c>
      <c r="T392" s="322">
        <f t="shared" si="80"/>
        <v>2616772.7699999958</v>
      </c>
      <c r="U392" s="140">
        <f t="shared" si="81"/>
        <v>2.3887383766361004E-2</v>
      </c>
      <c r="V392" s="322">
        <f t="shared" si="72"/>
        <v>6489000</v>
      </c>
      <c r="W392" s="140">
        <f t="shared" si="82"/>
        <v>6.1405833033669588E-2</v>
      </c>
      <c r="X392" s="322">
        <f t="shared" si="83"/>
        <v>1953000</v>
      </c>
      <c r="Y392" s="140">
        <f t="shared" si="84"/>
        <v>1.7720714998638962E-2</v>
      </c>
      <c r="Z392" s="519">
        <v>82657925.489999995</v>
      </c>
      <c r="AA392" s="111">
        <f t="shared" si="73"/>
        <v>110210567.31999999</v>
      </c>
      <c r="AB392" s="111">
        <f t="shared" si="74"/>
        <v>-567.31999999284744</v>
      </c>
    </row>
    <row r="393" spans="1:28" ht="28.5" customHeight="1">
      <c r="A393" s="114" t="s">
        <v>3744</v>
      </c>
      <c r="B393" s="125" t="s">
        <v>2240</v>
      </c>
      <c r="C393" s="97" t="s">
        <v>3186</v>
      </c>
      <c r="D393" s="97" t="s">
        <v>2833</v>
      </c>
      <c r="E393" s="559" t="s">
        <v>4027</v>
      </c>
      <c r="F393" s="540" t="s">
        <v>4028</v>
      </c>
      <c r="G393" s="555" t="s">
        <v>578</v>
      </c>
      <c r="H393" s="555" t="s">
        <v>3745</v>
      </c>
      <c r="I393" s="556" t="s">
        <v>4029</v>
      </c>
      <c r="J393" s="557" t="s">
        <v>1008</v>
      </c>
      <c r="K393" s="558" t="s">
        <v>2884</v>
      </c>
      <c r="L393" s="95"/>
      <c r="M393" s="104"/>
      <c r="N393" s="137">
        <v>22518967.800000001</v>
      </c>
      <c r="O393" s="138">
        <v>22898000</v>
      </c>
      <c r="P393" s="138">
        <v>23510000</v>
      </c>
      <c r="Q393" s="138">
        <f>24876000-728000</f>
        <v>24148000</v>
      </c>
      <c r="R393" s="138">
        <f>26868000-728000</f>
        <v>26140000</v>
      </c>
      <c r="S393" s="139">
        <f>28560000-728000</f>
        <v>27832000</v>
      </c>
      <c r="T393" s="322">
        <f t="shared" si="80"/>
        <v>1629032.1999999993</v>
      </c>
      <c r="U393" s="140">
        <f t="shared" si="81"/>
        <v>7.2340447149624648E-2</v>
      </c>
      <c r="V393" s="322">
        <f t="shared" ref="V393:V456" si="90">IF(O393="","",Q393-O393)</f>
        <v>1250000</v>
      </c>
      <c r="W393" s="140">
        <f t="shared" si="82"/>
        <v>5.458992051707573E-2</v>
      </c>
      <c r="X393" s="322">
        <f t="shared" si="83"/>
        <v>638000</v>
      </c>
      <c r="Y393" s="140">
        <f t="shared" si="84"/>
        <v>2.7137388345384941E-2</v>
      </c>
      <c r="Z393" s="519">
        <v>17791325.879999999</v>
      </c>
      <c r="AA393" s="111">
        <f t="shared" ref="AA393:AA456" si="91">Z393/3*4</f>
        <v>23721767.84</v>
      </c>
      <c r="AB393" s="522">
        <f t="shared" ref="AB393:AB456" si="92">P393-AA393</f>
        <v>-211767.83999999985</v>
      </c>
    </row>
    <row r="394" spans="1:28" ht="37.5" customHeight="1">
      <c r="A394" s="114" t="s">
        <v>2248</v>
      </c>
      <c r="B394" s="125" t="s">
        <v>2240</v>
      </c>
      <c r="C394" s="97" t="s">
        <v>3186</v>
      </c>
      <c r="D394" s="97" t="s">
        <v>3193</v>
      </c>
      <c r="E394" s="559" t="s">
        <v>4030</v>
      </c>
      <c r="F394" s="540" t="s">
        <v>4031</v>
      </c>
      <c r="G394" s="555" t="s">
        <v>575</v>
      </c>
      <c r="H394" s="555" t="s">
        <v>3743</v>
      </c>
      <c r="I394" s="556" t="s">
        <v>4026</v>
      </c>
      <c r="J394" s="557" t="s">
        <v>1008</v>
      </c>
      <c r="K394" s="558" t="s">
        <v>2884</v>
      </c>
      <c r="L394" s="95"/>
      <c r="M394" s="104"/>
      <c r="N394" s="137">
        <v>724.34</v>
      </c>
      <c r="O394" s="138">
        <v>1000</v>
      </c>
      <c r="P394" s="138">
        <v>0</v>
      </c>
      <c r="Q394" s="138">
        <v>0</v>
      </c>
      <c r="R394" s="138">
        <v>0</v>
      </c>
      <c r="S394" s="139">
        <v>0</v>
      </c>
      <c r="T394" s="322">
        <f t="shared" si="80"/>
        <v>-724.34</v>
      </c>
      <c r="U394" s="140">
        <f t="shared" si="81"/>
        <v>-1</v>
      </c>
      <c r="V394" s="322">
        <f t="shared" si="90"/>
        <v>-1000</v>
      </c>
      <c r="W394" s="140">
        <f t="shared" si="82"/>
        <v>-1</v>
      </c>
      <c r="X394" s="322">
        <f t="shared" si="83"/>
        <v>0</v>
      </c>
      <c r="Y394" s="140" t="str">
        <f t="shared" si="84"/>
        <v/>
      </c>
      <c r="Z394" s="519">
        <v>0</v>
      </c>
      <c r="AA394" s="111">
        <f t="shared" si="91"/>
        <v>0</v>
      </c>
      <c r="AB394" s="111">
        <f t="shared" si="92"/>
        <v>0</v>
      </c>
    </row>
    <row r="395" spans="1:28" ht="37.5" customHeight="1">
      <c r="A395" s="114" t="s">
        <v>3746</v>
      </c>
      <c r="B395" s="125" t="s">
        <v>2240</v>
      </c>
      <c r="C395" s="97" t="s">
        <v>3186</v>
      </c>
      <c r="D395" s="97" t="s">
        <v>1397</v>
      </c>
      <c r="E395" s="559" t="s">
        <v>4032</v>
      </c>
      <c r="F395" s="540" t="s">
        <v>4033</v>
      </c>
      <c r="G395" s="555" t="s">
        <v>578</v>
      </c>
      <c r="H395" s="555" t="s">
        <v>3745</v>
      </c>
      <c r="I395" s="556" t="s">
        <v>4029</v>
      </c>
      <c r="J395" s="557" t="s">
        <v>1008</v>
      </c>
      <c r="K395" s="558" t="s">
        <v>2884</v>
      </c>
      <c r="L395" s="95"/>
      <c r="M395" s="104"/>
      <c r="N395" s="137">
        <v>0</v>
      </c>
      <c r="O395" s="138">
        <v>0</v>
      </c>
      <c r="P395" s="138">
        <v>0</v>
      </c>
      <c r="Q395" s="138">
        <v>0</v>
      </c>
      <c r="R395" s="138">
        <v>0</v>
      </c>
      <c r="S395" s="139">
        <v>0</v>
      </c>
      <c r="T395" s="322">
        <f t="shared" si="80"/>
        <v>0</v>
      </c>
      <c r="U395" s="140" t="str">
        <f t="shared" si="81"/>
        <v/>
      </c>
      <c r="V395" s="322">
        <f t="shared" si="90"/>
        <v>0</v>
      </c>
      <c r="W395" s="140" t="str">
        <f t="shared" si="82"/>
        <v/>
      </c>
      <c r="X395" s="322">
        <f t="shared" si="83"/>
        <v>0</v>
      </c>
      <c r="Y395" s="140" t="str">
        <f t="shared" si="84"/>
        <v/>
      </c>
      <c r="Z395" s="519">
        <v>0</v>
      </c>
      <c r="AA395" s="111">
        <f t="shared" si="91"/>
        <v>0</v>
      </c>
      <c r="AB395" s="111">
        <f t="shared" si="92"/>
        <v>0</v>
      </c>
    </row>
    <row r="396" spans="1:28" ht="28.5" customHeight="1">
      <c r="A396" s="114" t="s">
        <v>2249</v>
      </c>
      <c r="B396" s="125" t="s">
        <v>2240</v>
      </c>
      <c r="C396" s="97" t="s">
        <v>3186</v>
      </c>
      <c r="D396" s="97" t="s">
        <v>2631</v>
      </c>
      <c r="E396" s="559" t="s">
        <v>4034</v>
      </c>
      <c r="F396" s="540" t="s">
        <v>4035</v>
      </c>
      <c r="G396" s="555" t="s">
        <v>584</v>
      </c>
      <c r="H396" s="555" t="s">
        <v>3747</v>
      </c>
      <c r="I396" s="556" t="s">
        <v>4036</v>
      </c>
      <c r="J396" s="557" t="s">
        <v>1031</v>
      </c>
      <c r="K396" s="558" t="s">
        <v>2885</v>
      </c>
      <c r="L396" s="95"/>
      <c r="M396" s="104"/>
      <c r="N396" s="137">
        <v>18410949.41</v>
      </c>
      <c r="O396" s="138">
        <v>18138000</v>
      </c>
      <c r="P396" s="138">
        <v>18631000</v>
      </c>
      <c r="Q396" s="138">
        <v>18998000</v>
      </c>
      <c r="R396" s="138">
        <v>19161000</v>
      </c>
      <c r="S396" s="139">
        <v>19254000</v>
      </c>
      <c r="T396" s="322">
        <f t="shared" si="80"/>
        <v>587050.58999999985</v>
      </c>
      <c r="U396" s="140">
        <f t="shared" si="81"/>
        <v>3.1885948786603065E-2</v>
      </c>
      <c r="V396" s="322">
        <f t="shared" si="90"/>
        <v>860000</v>
      </c>
      <c r="W396" s="140">
        <f t="shared" si="82"/>
        <v>4.7414268386812217E-2</v>
      </c>
      <c r="X396" s="322">
        <f t="shared" si="83"/>
        <v>367000</v>
      </c>
      <c r="Y396" s="140">
        <f t="shared" si="84"/>
        <v>1.969835220868445E-2</v>
      </c>
      <c r="Z396" s="519">
        <v>14085835.6</v>
      </c>
      <c r="AA396" s="111">
        <f t="shared" si="91"/>
        <v>18781114.133333333</v>
      </c>
      <c r="AB396" s="522">
        <f t="shared" si="92"/>
        <v>-150114.13333333284</v>
      </c>
    </row>
    <row r="397" spans="1:28" ht="28.5" customHeight="1">
      <c r="A397" s="114" t="s">
        <v>3748</v>
      </c>
      <c r="B397" s="125" t="s">
        <v>2240</v>
      </c>
      <c r="C397" s="97" t="s">
        <v>3186</v>
      </c>
      <c r="D397" s="97" t="s">
        <v>2834</v>
      </c>
      <c r="E397" s="559" t="s">
        <v>4037</v>
      </c>
      <c r="F397" s="540" t="s">
        <v>4038</v>
      </c>
      <c r="G397" s="555" t="s">
        <v>586</v>
      </c>
      <c r="H397" s="555" t="s">
        <v>3749</v>
      </c>
      <c r="I397" s="556" t="s">
        <v>4039</v>
      </c>
      <c r="J397" s="557" t="s">
        <v>1031</v>
      </c>
      <c r="K397" s="558" t="s">
        <v>2885</v>
      </c>
      <c r="L397" s="95"/>
      <c r="M397" s="104"/>
      <c r="N397" s="137">
        <v>1705459.3</v>
      </c>
      <c r="O397" s="138">
        <v>1743000</v>
      </c>
      <c r="P397" s="138">
        <v>2284000</v>
      </c>
      <c r="Q397" s="138">
        <v>2407000</v>
      </c>
      <c r="R397" s="138">
        <v>2446000</v>
      </c>
      <c r="S397" s="139">
        <v>2451000</v>
      </c>
      <c r="T397" s="322">
        <f t="shared" si="80"/>
        <v>701540.7</v>
      </c>
      <c r="U397" s="140">
        <f t="shared" si="81"/>
        <v>0.41135000993573984</v>
      </c>
      <c r="V397" s="322">
        <f t="shared" si="90"/>
        <v>664000</v>
      </c>
      <c r="W397" s="140">
        <f t="shared" si="82"/>
        <v>0.38095238095238093</v>
      </c>
      <c r="X397" s="322">
        <f t="shared" si="83"/>
        <v>123000</v>
      </c>
      <c r="Y397" s="140">
        <f t="shared" si="84"/>
        <v>5.3852889667250436E-2</v>
      </c>
      <c r="Z397" s="519">
        <v>1563543.96</v>
      </c>
      <c r="AA397" s="111">
        <f t="shared" si="91"/>
        <v>2084725.28</v>
      </c>
      <c r="AB397" s="522">
        <f t="shared" si="92"/>
        <v>199274.71999999997</v>
      </c>
    </row>
    <row r="398" spans="1:28" ht="37.5" customHeight="1">
      <c r="A398" s="114" t="s">
        <v>2760</v>
      </c>
      <c r="B398" s="125" t="s">
        <v>2240</v>
      </c>
      <c r="C398" s="97" t="s">
        <v>3186</v>
      </c>
      <c r="D398" s="97" t="s">
        <v>1404</v>
      </c>
      <c r="E398" s="559" t="s">
        <v>4040</v>
      </c>
      <c r="F398" s="540" t="s">
        <v>4041</v>
      </c>
      <c r="G398" s="555" t="s">
        <v>584</v>
      </c>
      <c r="H398" s="555" t="s">
        <v>3747</v>
      </c>
      <c r="I398" s="556" t="s">
        <v>4036</v>
      </c>
      <c r="J398" s="557" t="s">
        <v>1031</v>
      </c>
      <c r="K398" s="558" t="s">
        <v>2885</v>
      </c>
      <c r="L398" s="95"/>
      <c r="M398" s="104"/>
      <c r="N398" s="137">
        <v>0</v>
      </c>
      <c r="O398" s="138">
        <v>0</v>
      </c>
      <c r="P398" s="138">
        <v>0</v>
      </c>
      <c r="Q398" s="138">
        <v>0</v>
      </c>
      <c r="R398" s="138">
        <v>0</v>
      </c>
      <c r="S398" s="139">
        <v>0</v>
      </c>
      <c r="T398" s="322">
        <f t="shared" si="80"/>
        <v>0</v>
      </c>
      <c r="U398" s="140" t="str">
        <f t="shared" si="81"/>
        <v/>
      </c>
      <c r="V398" s="322">
        <f t="shared" si="90"/>
        <v>0</v>
      </c>
      <c r="W398" s="140" t="str">
        <f t="shared" si="82"/>
        <v/>
      </c>
      <c r="X398" s="322">
        <f t="shared" si="83"/>
        <v>0</v>
      </c>
      <c r="Y398" s="140" t="str">
        <f t="shared" si="84"/>
        <v/>
      </c>
      <c r="Z398" s="519">
        <v>0</v>
      </c>
      <c r="AA398" s="111">
        <f t="shared" si="91"/>
        <v>0</v>
      </c>
      <c r="AB398" s="111">
        <f t="shared" si="92"/>
        <v>0</v>
      </c>
    </row>
    <row r="399" spans="1:28" ht="37.5" customHeight="1">
      <c r="A399" s="114" t="s">
        <v>3750</v>
      </c>
      <c r="B399" s="126" t="s">
        <v>2240</v>
      </c>
      <c r="C399" s="98" t="s">
        <v>3186</v>
      </c>
      <c r="D399" s="98" t="s">
        <v>1372</v>
      </c>
      <c r="E399" s="540" t="s">
        <v>4042</v>
      </c>
      <c r="F399" s="540" t="s">
        <v>4043</v>
      </c>
      <c r="G399" s="555" t="s">
        <v>586</v>
      </c>
      <c r="H399" s="555" t="s">
        <v>3749</v>
      </c>
      <c r="I399" s="556" t="s">
        <v>4039</v>
      </c>
      <c r="J399" s="557" t="s">
        <v>1031</v>
      </c>
      <c r="K399" s="558" t="s">
        <v>2885</v>
      </c>
      <c r="L399" s="95"/>
      <c r="M399" s="104"/>
      <c r="N399" s="137">
        <v>0</v>
      </c>
      <c r="O399" s="138">
        <v>0</v>
      </c>
      <c r="P399" s="138">
        <v>0</v>
      </c>
      <c r="Q399" s="138">
        <v>0</v>
      </c>
      <c r="R399" s="138">
        <v>0</v>
      </c>
      <c r="S399" s="139">
        <v>0</v>
      </c>
      <c r="T399" s="322">
        <f t="shared" si="80"/>
        <v>0</v>
      </c>
      <c r="U399" s="140" t="str">
        <f t="shared" si="81"/>
        <v/>
      </c>
      <c r="V399" s="322">
        <f t="shared" si="90"/>
        <v>0</v>
      </c>
      <c r="W399" s="140" t="str">
        <f t="shared" si="82"/>
        <v/>
      </c>
      <c r="X399" s="322">
        <f t="shared" si="83"/>
        <v>0</v>
      </c>
      <c r="Y399" s="140" t="str">
        <f t="shared" si="84"/>
        <v/>
      </c>
      <c r="Z399" s="519">
        <v>0</v>
      </c>
      <c r="AA399" s="111">
        <f t="shared" si="91"/>
        <v>0</v>
      </c>
      <c r="AB399" s="111">
        <f t="shared" si="92"/>
        <v>0</v>
      </c>
    </row>
    <row r="400" spans="1:28" ht="25.5" customHeight="1">
      <c r="A400" s="114" t="s">
        <v>2761</v>
      </c>
      <c r="B400" s="125" t="s">
        <v>2240</v>
      </c>
      <c r="C400" s="97" t="s">
        <v>3186</v>
      </c>
      <c r="D400" s="97" t="s">
        <v>1405</v>
      </c>
      <c r="E400" s="559" t="s">
        <v>4044</v>
      </c>
      <c r="F400" s="540" t="s">
        <v>5446</v>
      </c>
      <c r="G400" s="555" t="s">
        <v>592</v>
      </c>
      <c r="H400" s="555" t="s">
        <v>3751</v>
      </c>
      <c r="I400" s="556" t="s">
        <v>4045</v>
      </c>
      <c r="J400" s="557" t="s">
        <v>1063</v>
      </c>
      <c r="K400" s="558" t="s">
        <v>2886</v>
      </c>
      <c r="L400" s="95"/>
      <c r="M400" s="104"/>
      <c r="N400" s="137">
        <v>129542293.75</v>
      </c>
      <c r="O400" s="138">
        <v>131925000</v>
      </c>
      <c r="P400" s="138">
        <v>135551000</v>
      </c>
      <c r="Q400" s="138">
        <f>138876000-647000</f>
        <v>138229000</v>
      </c>
      <c r="R400" s="138">
        <f>141459000-647000</f>
        <v>140812000</v>
      </c>
      <c r="S400" s="139">
        <f>143424000-647000</f>
        <v>142777000</v>
      </c>
      <c r="T400" s="322">
        <f t="shared" si="80"/>
        <v>8686706.25</v>
      </c>
      <c r="U400" s="140">
        <f t="shared" si="81"/>
        <v>6.7056912445631292E-2</v>
      </c>
      <c r="V400" s="322">
        <f t="shared" si="90"/>
        <v>6304000</v>
      </c>
      <c r="W400" s="140">
        <f t="shared" si="82"/>
        <v>4.7784726170172445E-2</v>
      </c>
      <c r="X400" s="322">
        <f t="shared" si="83"/>
        <v>2678000</v>
      </c>
      <c r="Y400" s="140">
        <f t="shared" si="84"/>
        <v>1.9756401649563632E-2</v>
      </c>
      <c r="Z400" s="519">
        <v>101883584.7</v>
      </c>
      <c r="AA400" s="111">
        <f t="shared" si="91"/>
        <v>135844779.59999999</v>
      </c>
      <c r="AB400" s="111">
        <f t="shared" si="92"/>
        <v>-293779.59999999404</v>
      </c>
    </row>
    <row r="401" spans="1:28" ht="25.5" customHeight="1">
      <c r="A401" s="114" t="s">
        <v>3752</v>
      </c>
      <c r="B401" s="125" t="s">
        <v>2240</v>
      </c>
      <c r="C401" s="97" t="s">
        <v>3186</v>
      </c>
      <c r="D401" s="97" t="s">
        <v>3085</v>
      </c>
      <c r="E401" s="559" t="s">
        <v>4046</v>
      </c>
      <c r="F401" s="540" t="s">
        <v>5447</v>
      </c>
      <c r="G401" s="555" t="s">
        <v>1443</v>
      </c>
      <c r="H401" s="555" t="s">
        <v>3753</v>
      </c>
      <c r="I401" s="556" t="s">
        <v>4047</v>
      </c>
      <c r="J401" s="557" t="s">
        <v>1063</v>
      </c>
      <c r="K401" s="558" t="s">
        <v>2886</v>
      </c>
      <c r="L401" s="95"/>
      <c r="M401" s="104"/>
      <c r="N401" s="137">
        <v>25579368.710000001</v>
      </c>
      <c r="O401" s="138">
        <v>26243000</v>
      </c>
      <c r="P401" s="138">
        <v>21783000</v>
      </c>
      <c r="Q401" s="138">
        <f>22720000-334000</f>
        <v>22386000</v>
      </c>
      <c r="R401" s="138">
        <f>23554000-334000</f>
        <v>23220000</v>
      </c>
      <c r="S401" s="139">
        <f>23909000-334000</f>
        <v>23575000</v>
      </c>
      <c r="T401" s="322">
        <f t="shared" si="80"/>
        <v>-3193368.7100000009</v>
      </c>
      <c r="U401" s="140">
        <f t="shared" si="81"/>
        <v>-0.12484157627985498</v>
      </c>
      <c r="V401" s="322">
        <f t="shared" si="90"/>
        <v>-3857000</v>
      </c>
      <c r="W401" s="140">
        <f t="shared" si="82"/>
        <v>-0.14697252600693519</v>
      </c>
      <c r="X401" s="322">
        <f t="shared" si="83"/>
        <v>603000</v>
      </c>
      <c r="Y401" s="140">
        <f t="shared" si="84"/>
        <v>2.7682137446632695E-2</v>
      </c>
      <c r="Z401" s="519">
        <v>16494607.920000002</v>
      </c>
      <c r="AA401" s="111">
        <f t="shared" si="91"/>
        <v>21992810.560000002</v>
      </c>
      <c r="AB401" s="111">
        <f t="shared" si="92"/>
        <v>-209810.56000000238</v>
      </c>
    </row>
    <row r="402" spans="1:28" ht="37.5" customHeight="1">
      <c r="A402" s="114" t="s">
        <v>2762</v>
      </c>
      <c r="B402" s="125" t="s">
        <v>2240</v>
      </c>
      <c r="C402" s="97" t="s">
        <v>3186</v>
      </c>
      <c r="D402" s="97" t="s">
        <v>2291</v>
      </c>
      <c r="E402" s="559" t="s">
        <v>4048</v>
      </c>
      <c r="F402" s="540" t="s">
        <v>5448</v>
      </c>
      <c r="G402" s="555" t="s">
        <v>592</v>
      </c>
      <c r="H402" s="555" t="s">
        <v>3751</v>
      </c>
      <c r="I402" s="556" t="s">
        <v>4045</v>
      </c>
      <c r="J402" s="557" t="s">
        <v>1063</v>
      </c>
      <c r="K402" s="558" t="s">
        <v>2886</v>
      </c>
      <c r="L402" s="95"/>
      <c r="M402" s="104"/>
      <c r="N402" s="137">
        <v>9901.42</v>
      </c>
      <c r="O402" s="138">
        <v>10000</v>
      </c>
      <c r="P402" s="138">
        <v>2000</v>
      </c>
      <c r="Q402" s="138">
        <v>2000</v>
      </c>
      <c r="R402" s="138">
        <v>2000</v>
      </c>
      <c r="S402" s="139">
        <v>2000</v>
      </c>
      <c r="T402" s="322">
        <f t="shared" si="80"/>
        <v>-7901.42</v>
      </c>
      <c r="U402" s="140">
        <f t="shared" si="81"/>
        <v>-0.79800877045918661</v>
      </c>
      <c r="V402" s="322">
        <f t="shared" si="90"/>
        <v>-8000</v>
      </c>
      <c r="W402" s="140">
        <f t="shared" si="82"/>
        <v>-0.8</v>
      </c>
      <c r="X402" s="322">
        <f t="shared" si="83"/>
        <v>0</v>
      </c>
      <c r="Y402" s="140">
        <f t="shared" si="84"/>
        <v>0</v>
      </c>
      <c r="Z402" s="519">
        <v>2075.9299999999998</v>
      </c>
      <c r="AA402" s="111">
        <f t="shared" si="91"/>
        <v>2767.9066666666663</v>
      </c>
      <c r="AB402" s="111">
        <f t="shared" si="92"/>
        <v>-767.9066666666663</v>
      </c>
    </row>
    <row r="403" spans="1:28" ht="37.5" customHeight="1">
      <c r="A403" s="114" t="s">
        <v>3754</v>
      </c>
      <c r="B403" s="125" t="s">
        <v>2240</v>
      </c>
      <c r="C403" s="97" t="s">
        <v>3186</v>
      </c>
      <c r="D403" s="97" t="s">
        <v>2632</v>
      </c>
      <c r="E403" s="559" t="s">
        <v>4049</v>
      </c>
      <c r="F403" s="540" t="s">
        <v>5449</v>
      </c>
      <c r="G403" s="555" t="s">
        <v>1443</v>
      </c>
      <c r="H403" s="555" t="s">
        <v>3753</v>
      </c>
      <c r="I403" s="556" t="s">
        <v>4047</v>
      </c>
      <c r="J403" s="557" t="s">
        <v>1063</v>
      </c>
      <c r="K403" s="558" t="s">
        <v>2886</v>
      </c>
      <c r="L403" s="95"/>
      <c r="M403" s="104"/>
      <c r="N403" s="137">
        <v>788.67</v>
      </c>
      <c r="O403" s="138">
        <v>1000</v>
      </c>
      <c r="P403" s="138">
        <v>0</v>
      </c>
      <c r="Q403" s="138">
        <v>0</v>
      </c>
      <c r="R403" s="138">
        <v>0</v>
      </c>
      <c r="S403" s="139">
        <v>0</v>
      </c>
      <c r="T403" s="322">
        <f t="shared" si="80"/>
        <v>-788.67</v>
      </c>
      <c r="U403" s="140">
        <f t="shared" si="81"/>
        <v>-1</v>
      </c>
      <c r="V403" s="322">
        <f t="shared" si="90"/>
        <v>-1000</v>
      </c>
      <c r="W403" s="140">
        <f t="shared" si="82"/>
        <v>-1</v>
      </c>
      <c r="X403" s="322">
        <f t="shared" si="83"/>
        <v>0</v>
      </c>
      <c r="Y403" s="140" t="str">
        <f t="shared" si="84"/>
        <v/>
      </c>
      <c r="Z403" s="519">
        <v>-393.16</v>
      </c>
      <c r="AA403" s="111">
        <f t="shared" si="91"/>
        <v>-524.21333333333337</v>
      </c>
      <c r="AB403" s="111">
        <f t="shared" si="92"/>
        <v>524.21333333333337</v>
      </c>
    </row>
    <row r="404" spans="1:28" ht="28.5" customHeight="1">
      <c r="A404" s="117" t="s">
        <v>2763</v>
      </c>
      <c r="B404" s="127" t="s">
        <v>2240</v>
      </c>
      <c r="C404" s="99" t="s">
        <v>3187</v>
      </c>
      <c r="D404" s="99" t="s">
        <v>3185</v>
      </c>
      <c r="E404" s="534" t="s">
        <v>2765</v>
      </c>
      <c r="F404" s="534" t="s">
        <v>2764</v>
      </c>
      <c r="G404" s="555"/>
      <c r="H404" s="555"/>
      <c r="I404" s="556"/>
      <c r="J404" s="557"/>
      <c r="K404" s="558"/>
      <c r="L404" s="95"/>
      <c r="M404" s="104"/>
      <c r="N404" s="137">
        <v>0</v>
      </c>
      <c r="O404" s="138">
        <v>0</v>
      </c>
      <c r="P404" s="138">
        <v>0</v>
      </c>
      <c r="Q404" s="138">
        <v>0</v>
      </c>
      <c r="R404" s="138">
        <v>0</v>
      </c>
      <c r="S404" s="139">
        <v>0</v>
      </c>
      <c r="T404" s="322">
        <f t="shared" si="80"/>
        <v>0</v>
      </c>
      <c r="U404" s="140" t="str">
        <f t="shared" si="81"/>
        <v/>
      </c>
      <c r="V404" s="322">
        <f t="shared" si="90"/>
        <v>0</v>
      </c>
      <c r="W404" s="140" t="str">
        <f t="shared" si="82"/>
        <v/>
      </c>
      <c r="X404" s="322">
        <f t="shared" si="83"/>
        <v>0</v>
      </c>
      <c r="Y404" s="140" t="str">
        <f t="shared" si="84"/>
        <v/>
      </c>
      <c r="Z404" s="519">
        <v>0</v>
      </c>
      <c r="AA404" s="111">
        <f t="shared" si="91"/>
        <v>0</v>
      </c>
      <c r="AB404" s="111">
        <f t="shared" si="92"/>
        <v>0</v>
      </c>
    </row>
    <row r="405" spans="1:28" ht="28.5" customHeight="1">
      <c r="A405" s="116" t="s">
        <v>2766</v>
      </c>
      <c r="B405" s="126" t="s">
        <v>2240</v>
      </c>
      <c r="C405" s="98" t="s">
        <v>3187</v>
      </c>
      <c r="D405" s="98" t="s">
        <v>3183</v>
      </c>
      <c r="E405" s="540" t="s">
        <v>4050</v>
      </c>
      <c r="F405" s="540" t="s">
        <v>4051</v>
      </c>
      <c r="G405" s="555" t="s">
        <v>575</v>
      </c>
      <c r="H405" s="555" t="s">
        <v>3743</v>
      </c>
      <c r="I405" s="556" t="s">
        <v>4026</v>
      </c>
      <c r="J405" s="557" t="s">
        <v>1008</v>
      </c>
      <c r="K405" s="558" t="s">
        <v>2884</v>
      </c>
      <c r="L405" s="95"/>
      <c r="M405" s="104"/>
      <c r="N405" s="137">
        <v>10761848.399999999</v>
      </c>
      <c r="O405" s="138">
        <v>10187000</v>
      </c>
      <c r="P405" s="138">
        <v>12385000</v>
      </c>
      <c r="Q405" s="138">
        <v>12385000</v>
      </c>
      <c r="R405" s="138">
        <v>12385000</v>
      </c>
      <c r="S405" s="138">
        <v>12385000</v>
      </c>
      <c r="T405" s="322">
        <f t="shared" si="80"/>
        <v>1623151.6000000015</v>
      </c>
      <c r="U405" s="140">
        <f t="shared" si="81"/>
        <v>0.15082461113278661</v>
      </c>
      <c r="V405" s="322">
        <f t="shared" si="90"/>
        <v>2198000</v>
      </c>
      <c r="W405" s="140">
        <f t="shared" si="82"/>
        <v>0.21576519092961619</v>
      </c>
      <c r="X405" s="322">
        <f t="shared" si="83"/>
        <v>0</v>
      </c>
      <c r="Y405" s="140">
        <f t="shared" si="84"/>
        <v>0</v>
      </c>
      <c r="Z405" s="519">
        <v>9289147.4499999993</v>
      </c>
      <c r="AA405" s="111">
        <f t="shared" si="91"/>
        <v>12385529.933333332</v>
      </c>
      <c r="AB405" s="111">
        <f t="shared" si="92"/>
        <v>-529.93333333171904</v>
      </c>
    </row>
    <row r="406" spans="1:28" ht="28.5" customHeight="1">
      <c r="A406" s="116" t="s">
        <v>3755</v>
      </c>
      <c r="B406" s="126" t="s">
        <v>2240</v>
      </c>
      <c r="C406" s="98" t="s">
        <v>3187</v>
      </c>
      <c r="D406" s="98" t="s">
        <v>2833</v>
      </c>
      <c r="E406" s="540" t="s">
        <v>4052</v>
      </c>
      <c r="F406" s="540" t="s">
        <v>4053</v>
      </c>
      <c r="G406" s="555" t="s">
        <v>578</v>
      </c>
      <c r="H406" s="555" t="s">
        <v>3745</v>
      </c>
      <c r="I406" s="556" t="s">
        <v>4029</v>
      </c>
      <c r="J406" s="557" t="s">
        <v>1008</v>
      </c>
      <c r="K406" s="558" t="s">
        <v>2884</v>
      </c>
      <c r="L406" s="95"/>
      <c r="M406" s="104"/>
      <c r="N406" s="137">
        <v>3366410.41</v>
      </c>
      <c r="O406" s="138">
        <v>3256000</v>
      </c>
      <c r="P406" s="138">
        <v>3715000</v>
      </c>
      <c r="Q406" s="138">
        <v>3715000</v>
      </c>
      <c r="R406" s="138">
        <v>3715000</v>
      </c>
      <c r="S406" s="138">
        <v>3715000</v>
      </c>
      <c r="T406" s="322">
        <f t="shared" si="80"/>
        <v>348589.58999999985</v>
      </c>
      <c r="U406" s="140">
        <f t="shared" si="81"/>
        <v>0.10354934412171089</v>
      </c>
      <c r="V406" s="322">
        <f t="shared" si="90"/>
        <v>459000</v>
      </c>
      <c r="W406" s="140">
        <f t="shared" si="82"/>
        <v>0.14097051597051596</v>
      </c>
      <c r="X406" s="322">
        <f t="shared" si="83"/>
        <v>0</v>
      </c>
      <c r="Y406" s="140">
        <f t="shared" si="84"/>
        <v>0</v>
      </c>
      <c r="Z406" s="519">
        <v>2785765.79</v>
      </c>
      <c r="AA406" s="111">
        <f t="shared" si="91"/>
        <v>3714354.3866666667</v>
      </c>
      <c r="AB406" s="111">
        <f t="shared" si="92"/>
        <v>645.61333333328366</v>
      </c>
    </row>
    <row r="407" spans="1:28" ht="28.5" customHeight="1">
      <c r="A407" s="116" t="s">
        <v>2767</v>
      </c>
      <c r="B407" s="126" t="s">
        <v>2240</v>
      </c>
      <c r="C407" s="98" t="s">
        <v>3187</v>
      </c>
      <c r="D407" s="98" t="s">
        <v>3193</v>
      </c>
      <c r="E407" s="540" t="s">
        <v>4054</v>
      </c>
      <c r="F407" s="540" t="s">
        <v>4055</v>
      </c>
      <c r="G407" s="555" t="s">
        <v>584</v>
      </c>
      <c r="H407" s="555" t="s">
        <v>3747</v>
      </c>
      <c r="I407" s="556" t="s">
        <v>4036</v>
      </c>
      <c r="J407" s="557" t="s">
        <v>1031</v>
      </c>
      <c r="K407" s="558" t="s">
        <v>2885</v>
      </c>
      <c r="L407" s="95"/>
      <c r="M407" s="104"/>
      <c r="N407" s="137">
        <v>205623.96</v>
      </c>
      <c r="O407" s="138">
        <v>177000</v>
      </c>
      <c r="P407" s="138">
        <v>217000</v>
      </c>
      <c r="Q407" s="138">
        <v>217000</v>
      </c>
      <c r="R407" s="138">
        <v>217000</v>
      </c>
      <c r="S407" s="138">
        <v>217000</v>
      </c>
      <c r="T407" s="322">
        <f t="shared" si="80"/>
        <v>11376.040000000008</v>
      </c>
      <c r="U407" s="140">
        <f t="shared" si="81"/>
        <v>5.532448650439379E-2</v>
      </c>
      <c r="V407" s="322">
        <f t="shared" si="90"/>
        <v>40000</v>
      </c>
      <c r="W407" s="140">
        <f t="shared" si="82"/>
        <v>0.22598870056497175</v>
      </c>
      <c r="X407" s="322">
        <f t="shared" si="83"/>
        <v>0</v>
      </c>
      <c r="Y407" s="140">
        <f t="shared" si="84"/>
        <v>0</v>
      </c>
      <c r="Z407" s="519">
        <v>192633.98</v>
      </c>
      <c r="AA407" s="111">
        <f t="shared" si="91"/>
        <v>256845.30666666667</v>
      </c>
      <c r="AB407" s="111">
        <f t="shared" si="92"/>
        <v>-39845.306666666671</v>
      </c>
    </row>
    <row r="408" spans="1:28" ht="28.5" customHeight="1">
      <c r="A408" s="116" t="s">
        <v>3609</v>
      </c>
      <c r="B408" s="126" t="s">
        <v>2240</v>
      </c>
      <c r="C408" s="98" t="s">
        <v>3187</v>
      </c>
      <c r="D408" s="98" t="s">
        <v>1397</v>
      </c>
      <c r="E408" s="540" t="s">
        <v>4056</v>
      </c>
      <c r="F408" s="540" t="s">
        <v>4057</v>
      </c>
      <c r="G408" s="555" t="s">
        <v>586</v>
      </c>
      <c r="H408" s="555" t="s">
        <v>3749</v>
      </c>
      <c r="I408" s="556" t="s">
        <v>4039</v>
      </c>
      <c r="J408" s="557" t="s">
        <v>1031</v>
      </c>
      <c r="K408" s="558" t="s">
        <v>2885</v>
      </c>
      <c r="L408" s="95"/>
      <c r="M408" s="104"/>
      <c r="N408" s="137">
        <v>24387.33</v>
      </c>
      <c r="O408" s="138">
        <v>30000</v>
      </c>
      <c r="P408" s="138">
        <v>31000</v>
      </c>
      <c r="Q408" s="138">
        <v>31000</v>
      </c>
      <c r="R408" s="138">
        <v>31000</v>
      </c>
      <c r="S408" s="138">
        <v>31000</v>
      </c>
      <c r="T408" s="322">
        <f t="shared" si="80"/>
        <v>6612.6699999999983</v>
      </c>
      <c r="U408" s="140">
        <f t="shared" si="81"/>
        <v>0.27115186451325329</v>
      </c>
      <c r="V408" s="322">
        <f t="shared" si="90"/>
        <v>1000</v>
      </c>
      <c r="W408" s="140">
        <f t="shared" si="82"/>
        <v>3.3333333333333333E-2</v>
      </c>
      <c r="X408" s="322">
        <f t="shared" si="83"/>
        <v>0</v>
      </c>
      <c r="Y408" s="140">
        <f t="shared" si="84"/>
        <v>0</v>
      </c>
      <c r="Z408" s="519">
        <v>23668.54</v>
      </c>
      <c r="AA408" s="111">
        <f t="shared" si="91"/>
        <v>31558.053333333333</v>
      </c>
      <c r="AB408" s="111">
        <f t="shared" si="92"/>
        <v>-558.05333333333328</v>
      </c>
    </row>
    <row r="409" spans="1:28" ht="28.5" customHeight="1">
      <c r="A409" s="116" t="s">
        <v>2768</v>
      </c>
      <c r="B409" s="126" t="s">
        <v>2240</v>
      </c>
      <c r="C409" s="98" t="s">
        <v>3187</v>
      </c>
      <c r="D409" s="98" t="s">
        <v>2631</v>
      </c>
      <c r="E409" s="540" t="s">
        <v>4058</v>
      </c>
      <c r="F409" s="540" t="s">
        <v>4059</v>
      </c>
      <c r="G409" s="555" t="s">
        <v>592</v>
      </c>
      <c r="H409" s="555" t="s">
        <v>3751</v>
      </c>
      <c r="I409" s="556" t="s">
        <v>4045</v>
      </c>
      <c r="J409" s="557" t="s">
        <v>1063</v>
      </c>
      <c r="K409" s="558" t="s">
        <v>2886</v>
      </c>
      <c r="L409" s="95"/>
      <c r="M409" s="104"/>
      <c r="N409" s="137">
        <v>8578154.7599999998</v>
      </c>
      <c r="O409" s="138">
        <v>8667000</v>
      </c>
      <c r="P409" s="138">
        <v>8813000</v>
      </c>
      <c r="Q409" s="138">
        <v>8813000</v>
      </c>
      <c r="R409" s="138">
        <v>8813000</v>
      </c>
      <c r="S409" s="138">
        <v>8813000</v>
      </c>
      <c r="T409" s="322">
        <f t="shared" si="80"/>
        <v>234845.24000000022</v>
      </c>
      <c r="U409" s="140">
        <f t="shared" si="81"/>
        <v>2.7377127898774379E-2</v>
      </c>
      <c r="V409" s="322">
        <f t="shared" si="90"/>
        <v>146000</v>
      </c>
      <c r="W409" s="140">
        <f t="shared" si="82"/>
        <v>1.6845505942079151E-2</v>
      </c>
      <c r="X409" s="322">
        <f t="shared" si="83"/>
        <v>0</v>
      </c>
      <c r="Y409" s="140">
        <f t="shared" si="84"/>
        <v>0</v>
      </c>
      <c r="Z409" s="519">
        <v>6609886.3600000003</v>
      </c>
      <c r="AA409" s="111">
        <f t="shared" si="91"/>
        <v>8813181.8133333344</v>
      </c>
      <c r="AB409" s="111">
        <f t="shared" si="92"/>
        <v>-181.81333333440125</v>
      </c>
    </row>
    <row r="410" spans="1:28" ht="28.5" customHeight="1">
      <c r="A410" s="116" t="s">
        <v>3610</v>
      </c>
      <c r="B410" s="126" t="s">
        <v>2240</v>
      </c>
      <c r="C410" s="98" t="s">
        <v>3187</v>
      </c>
      <c r="D410" s="98" t="s">
        <v>2834</v>
      </c>
      <c r="E410" s="540" t="s">
        <v>5450</v>
      </c>
      <c r="F410" s="540" t="s">
        <v>5451</v>
      </c>
      <c r="G410" s="555" t="s">
        <v>1443</v>
      </c>
      <c r="H410" s="555" t="s">
        <v>3753</v>
      </c>
      <c r="I410" s="556" t="s">
        <v>4047</v>
      </c>
      <c r="J410" s="557" t="s">
        <v>1063</v>
      </c>
      <c r="K410" s="558" t="s">
        <v>2886</v>
      </c>
      <c r="L410" s="95"/>
      <c r="M410" s="104"/>
      <c r="N410" s="137">
        <v>3289570.17</v>
      </c>
      <c r="O410" s="138">
        <v>3196000</v>
      </c>
      <c r="P410" s="138">
        <v>2531000</v>
      </c>
      <c r="Q410" s="138">
        <v>2531000</v>
      </c>
      <c r="R410" s="138">
        <v>2531000</v>
      </c>
      <c r="S410" s="138">
        <v>2531000</v>
      </c>
      <c r="T410" s="322">
        <f t="shared" si="80"/>
        <v>-758570.16999999993</v>
      </c>
      <c r="U410" s="140">
        <f t="shared" si="81"/>
        <v>-0.23059856783659974</v>
      </c>
      <c r="V410" s="322">
        <f t="shared" si="90"/>
        <v>-665000</v>
      </c>
      <c r="W410" s="140">
        <f t="shared" si="82"/>
        <v>-0.20807259073842302</v>
      </c>
      <c r="X410" s="322">
        <f t="shared" si="83"/>
        <v>0</v>
      </c>
      <c r="Y410" s="140">
        <f t="shared" si="84"/>
        <v>0</v>
      </c>
      <c r="Z410" s="519">
        <v>1898025.91</v>
      </c>
      <c r="AA410" s="111">
        <f t="shared" si="91"/>
        <v>2530701.2133333334</v>
      </c>
      <c r="AB410" s="111">
        <f t="shared" si="92"/>
        <v>298.7866666666232</v>
      </c>
    </row>
    <row r="411" spans="1:28" ht="28.5" customHeight="1">
      <c r="A411" s="117" t="s">
        <v>2769</v>
      </c>
      <c r="B411" s="127" t="s">
        <v>2240</v>
      </c>
      <c r="C411" s="99" t="s">
        <v>3189</v>
      </c>
      <c r="D411" s="99" t="s">
        <v>3185</v>
      </c>
      <c r="E411" s="534" t="s">
        <v>2252</v>
      </c>
      <c r="F411" s="534" t="s">
        <v>2251</v>
      </c>
      <c r="G411" s="555"/>
      <c r="H411" s="555"/>
      <c r="I411" s="556"/>
      <c r="J411" s="557"/>
      <c r="K411" s="558"/>
      <c r="L411" s="95"/>
      <c r="M411" s="104"/>
      <c r="N411" s="137">
        <v>0</v>
      </c>
      <c r="O411" s="138">
        <v>0</v>
      </c>
      <c r="P411" s="138">
        <v>0</v>
      </c>
      <c r="Q411" s="138">
        <v>0</v>
      </c>
      <c r="R411" s="138">
        <v>0</v>
      </c>
      <c r="S411" s="139">
        <v>0</v>
      </c>
      <c r="T411" s="322">
        <f t="shared" si="80"/>
        <v>0</v>
      </c>
      <c r="U411" s="140" t="str">
        <f t="shared" si="81"/>
        <v/>
      </c>
      <c r="V411" s="322">
        <f t="shared" si="90"/>
        <v>0</v>
      </c>
      <c r="W411" s="140" t="str">
        <f t="shared" si="82"/>
        <v/>
      </c>
      <c r="X411" s="322">
        <f t="shared" si="83"/>
        <v>0</v>
      </c>
      <c r="Y411" s="140" t="str">
        <f t="shared" si="84"/>
        <v/>
      </c>
      <c r="Z411" s="519">
        <v>0</v>
      </c>
      <c r="AA411" s="111">
        <f t="shared" si="91"/>
        <v>0</v>
      </c>
      <c r="AB411" s="111">
        <f t="shared" si="92"/>
        <v>0</v>
      </c>
    </row>
    <row r="412" spans="1:28" ht="36" customHeight="1">
      <c r="A412" s="116" t="s">
        <v>2253</v>
      </c>
      <c r="B412" s="126" t="s">
        <v>2240</v>
      </c>
      <c r="C412" s="98" t="s">
        <v>3189</v>
      </c>
      <c r="D412" s="98" t="s">
        <v>3183</v>
      </c>
      <c r="E412" s="540" t="s">
        <v>4060</v>
      </c>
      <c r="F412" s="540" t="s">
        <v>5452</v>
      </c>
      <c r="G412" s="555" t="s">
        <v>575</v>
      </c>
      <c r="H412" s="555" t="s">
        <v>3743</v>
      </c>
      <c r="I412" s="556" t="s">
        <v>4026</v>
      </c>
      <c r="J412" s="557" t="s">
        <v>1008</v>
      </c>
      <c r="K412" s="558" t="s">
        <v>2884</v>
      </c>
      <c r="L412" s="95"/>
      <c r="M412" s="104"/>
      <c r="N412" s="137">
        <v>6056283.5800000001</v>
      </c>
      <c r="O412" s="138">
        <v>5767000</v>
      </c>
      <c r="P412" s="138">
        <v>6277000</v>
      </c>
      <c r="Q412" s="138">
        <v>6277000</v>
      </c>
      <c r="R412" s="138">
        <v>6277000</v>
      </c>
      <c r="S412" s="139">
        <v>6277000</v>
      </c>
      <c r="T412" s="322">
        <f t="shared" si="80"/>
        <v>220716.41999999993</v>
      </c>
      <c r="U412" s="140">
        <f t="shared" si="81"/>
        <v>3.6444201643543235E-2</v>
      </c>
      <c r="V412" s="322">
        <f t="shared" si="90"/>
        <v>510000</v>
      </c>
      <c r="W412" s="140">
        <f t="shared" si="82"/>
        <v>8.8434194555228024E-2</v>
      </c>
      <c r="X412" s="322">
        <f t="shared" si="83"/>
        <v>0</v>
      </c>
      <c r="Y412" s="140">
        <f t="shared" si="84"/>
        <v>0</v>
      </c>
      <c r="Z412" s="519">
        <v>4697819.09</v>
      </c>
      <c r="AA412" s="111">
        <f t="shared" si="91"/>
        <v>6263758.7866666662</v>
      </c>
      <c r="AB412" s="111">
        <f t="shared" si="92"/>
        <v>13241.213333333842</v>
      </c>
    </row>
    <row r="413" spans="1:28" ht="36" customHeight="1">
      <c r="A413" s="116" t="s">
        <v>3611</v>
      </c>
      <c r="B413" s="126" t="s">
        <v>2240</v>
      </c>
      <c r="C413" s="98" t="s">
        <v>3189</v>
      </c>
      <c r="D413" s="98" t="s">
        <v>2833</v>
      </c>
      <c r="E413" s="540" t="s">
        <v>4061</v>
      </c>
      <c r="F413" s="540" t="s">
        <v>5453</v>
      </c>
      <c r="G413" s="555" t="s">
        <v>578</v>
      </c>
      <c r="H413" s="555" t="s">
        <v>3745</v>
      </c>
      <c r="I413" s="556" t="s">
        <v>4029</v>
      </c>
      <c r="J413" s="557" t="s">
        <v>1008</v>
      </c>
      <c r="K413" s="558" t="s">
        <v>2884</v>
      </c>
      <c r="L413" s="95"/>
      <c r="M413" s="104"/>
      <c r="N413" s="137">
        <v>1272350.07</v>
      </c>
      <c r="O413" s="138">
        <v>1474000</v>
      </c>
      <c r="P413" s="138">
        <v>1379000</v>
      </c>
      <c r="Q413" s="138">
        <v>1379000</v>
      </c>
      <c r="R413" s="138">
        <v>1379000</v>
      </c>
      <c r="S413" s="139">
        <v>1379000</v>
      </c>
      <c r="T413" s="322">
        <f t="shared" ref="T413:T476" si="93">IF(N413="","",Q413-N413)</f>
        <v>106649.92999999993</v>
      </c>
      <c r="U413" s="140">
        <f t="shared" ref="U413:U476" si="94">IF(N413=0,"",T413/N413)</f>
        <v>8.3821215964565418E-2</v>
      </c>
      <c r="V413" s="322">
        <f t="shared" si="90"/>
        <v>-95000</v>
      </c>
      <c r="W413" s="140">
        <f t="shared" ref="W413:W476" si="95">IF(O413=0,"",V413/O413)</f>
        <v>-6.445047489823609E-2</v>
      </c>
      <c r="X413" s="322">
        <f t="shared" ref="X413:X476" si="96">IF(P413="","",Q413-P413)</f>
        <v>0</v>
      </c>
      <c r="Y413" s="140">
        <f t="shared" ref="Y413:Y476" si="97">IF(P413=0,"",X413/P413)</f>
        <v>0</v>
      </c>
      <c r="Z413" s="519">
        <v>1038043.2</v>
      </c>
      <c r="AA413" s="111">
        <f t="shared" si="91"/>
        <v>1384057.5999999999</v>
      </c>
      <c r="AB413" s="111">
        <f t="shared" si="92"/>
        <v>-5057.5999999998603</v>
      </c>
    </row>
    <row r="414" spans="1:28" ht="36" customHeight="1">
      <c r="A414" s="116" t="s">
        <v>2254</v>
      </c>
      <c r="B414" s="126" t="s">
        <v>2240</v>
      </c>
      <c r="C414" s="98" t="s">
        <v>3189</v>
      </c>
      <c r="D414" s="98" t="s">
        <v>3193</v>
      </c>
      <c r="E414" s="540" t="s">
        <v>4062</v>
      </c>
      <c r="F414" s="540" t="s">
        <v>4063</v>
      </c>
      <c r="G414" s="555" t="s">
        <v>584</v>
      </c>
      <c r="H414" s="555" t="s">
        <v>3747</v>
      </c>
      <c r="I414" s="556" t="s">
        <v>4036</v>
      </c>
      <c r="J414" s="557" t="s">
        <v>1031</v>
      </c>
      <c r="K414" s="558" t="s">
        <v>2885</v>
      </c>
      <c r="L414" s="95"/>
      <c r="M414" s="104"/>
      <c r="N414" s="137">
        <v>1134482.06</v>
      </c>
      <c r="O414" s="138">
        <v>1154000</v>
      </c>
      <c r="P414" s="138">
        <v>1164000</v>
      </c>
      <c r="Q414" s="138">
        <v>1164000</v>
      </c>
      <c r="R414" s="138">
        <v>1164000</v>
      </c>
      <c r="S414" s="139">
        <v>1164000</v>
      </c>
      <c r="T414" s="322">
        <f t="shared" si="93"/>
        <v>29517.939999999944</v>
      </c>
      <c r="U414" s="140">
        <f t="shared" si="94"/>
        <v>2.601886891009977E-2</v>
      </c>
      <c r="V414" s="322">
        <f t="shared" si="90"/>
        <v>10000</v>
      </c>
      <c r="W414" s="140">
        <f t="shared" si="95"/>
        <v>8.6655112651646445E-3</v>
      </c>
      <c r="X414" s="322">
        <f t="shared" si="96"/>
        <v>0</v>
      </c>
      <c r="Y414" s="140">
        <f t="shared" si="97"/>
        <v>0</v>
      </c>
      <c r="Z414" s="519">
        <v>887250.19</v>
      </c>
      <c r="AA414" s="111">
        <f t="shared" si="91"/>
        <v>1183000.2533333332</v>
      </c>
      <c r="AB414" s="111">
        <f t="shared" si="92"/>
        <v>-19000.253333333181</v>
      </c>
    </row>
    <row r="415" spans="1:28" ht="36" customHeight="1">
      <c r="A415" s="116" t="s">
        <v>3612</v>
      </c>
      <c r="B415" s="126" t="s">
        <v>2240</v>
      </c>
      <c r="C415" s="98" t="s">
        <v>3189</v>
      </c>
      <c r="D415" s="98" t="s">
        <v>1397</v>
      </c>
      <c r="E415" s="540" t="s">
        <v>4064</v>
      </c>
      <c r="F415" s="540" t="s">
        <v>4065</v>
      </c>
      <c r="G415" s="555" t="s">
        <v>586</v>
      </c>
      <c r="H415" s="555" t="s">
        <v>3749</v>
      </c>
      <c r="I415" s="556" t="s">
        <v>4039</v>
      </c>
      <c r="J415" s="557" t="s">
        <v>1031</v>
      </c>
      <c r="K415" s="558" t="s">
        <v>2885</v>
      </c>
      <c r="L415" s="95"/>
      <c r="M415" s="104"/>
      <c r="N415" s="137">
        <v>113758.8</v>
      </c>
      <c r="O415" s="138">
        <v>125000</v>
      </c>
      <c r="P415" s="138">
        <v>142000</v>
      </c>
      <c r="Q415" s="138">
        <v>142000</v>
      </c>
      <c r="R415" s="138">
        <v>142000</v>
      </c>
      <c r="S415" s="139">
        <v>142000</v>
      </c>
      <c r="T415" s="322">
        <f t="shared" si="93"/>
        <v>28241.199999999997</v>
      </c>
      <c r="U415" s="140">
        <f t="shared" si="94"/>
        <v>0.24825508004655461</v>
      </c>
      <c r="V415" s="322">
        <f t="shared" si="90"/>
        <v>17000</v>
      </c>
      <c r="W415" s="140">
        <f t="shared" si="95"/>
        <v>0.13600000000000001</v>
      </c>
      <c r="X415" s="322">
        <f t="shared" si="96"/>
        <v>0</v>
      </c>
      <c r="Y415" s="140">
        <f t="shared" si="97"/>
        <v>0</v>
      </c>
      <c r="Z415" s="519">
        <v>103350.48</v>
      </c>
      <c r="AA415" s="111">
        <f t="shared" si="91"/>
        <v>137800.63999999998</v>
      </c>
      <c r="AB415" s="111">
        <f t="shared" si="92"/>
        <v>4199.3600000000151</v>
      </c>
    </row>
    <row r="416" spans="1:28" ht="33" customHeight="1">
      <c r="A416" s="116" t="s">
        <v>2255</v>
      </c>
      <c r="B416" s="126" t="s">
        <v>2240</v>
      </c>
      <c r="C416" s="98" t="s">
        <v>3189</v>
      </c>
      <c r="D416" s="98" t="s">
        <v>2631</v>
      </c>
      <c r="E416" s="540" t="s">
        <v>4066</v>
      </c>
      <c r="F416" s="540" t="s">
        <v>5454</v>
      </c>
      <c r="G416" s="555" t="s">
        <v>592</v>
      </c>
      <c r="H416" s="555" t="s">
        <v>3751</v>
      </c>
      <c r="I416" s="556" t="s">
        <v>4045</v>
      </c>
      <c r="J416" s="557" t="s">
        <v>1063</v>
      </c>
      <c r="K416" s="558" t="s">
        <v>2886</v>
      </c>
      <c r="L416" s="95"/>
      <c r="M416" s="104"/>
      <c r="N416" s="137">
        <v>7119177.8300000001</v>
      </c>
      <c r="O416" s="138">
        <v>6940000</v>
      </c>
      <c r="P416" s="138">
        <v>7712000</v>
      </c>
      <c r="Q416" s="138">
        <v>7712000</v>
      </c>
      <c r="R416" s="138">
        <v>7712000</v>
      </c>
      <c r="S416" s="139">
        <v>7712000</v>
      </c>
      <c r="T416" s="322">
        <f t="shared" si="93"/>
        <v>592822.16999999993</v>
      </c>
      <c r="U416" s="140">
        <f t="shared" si="94"/>
        <v>8.327115632676925E-2</v>
      </c>
      <c r="V416" s="322">
        <f t="shared" si="90"/>
        <v>772000</v>
      </c>
      <c r="W416" s="140">
        <f t="shared" si="95"/>
        <v>0.11123919308357348</v>
      </c>
      <c r="X416" s="322">
        <f t="shared" si="96"/>
        <v>0</v>
      </c>
      <c r="Y416" s="140">
        <f t="shared" si="97"/>
        <v>0</v>
      </c>
      <c r="Z416" s="519">
        <v>5754011.8300000001</v>
      </c>
      <c r="AA416" s="111">
        <f t="shared" si="91"/>
        <v>7672015.7733333334</v>
      </c>
      <c r="AB416" s="111">
        <f t="shared" si="92"/>
        <v>39984.226666666567</v>
      </c>
    </row>
    <row r="417" spans="1:28" ht="36" customHeight="1">
      <c r="A417" s="116" t="s">
        <v>3613</v>
      </c>
      <c r="B417" s="126" t="s">
        <v>2240</v>
      </c>
      <c r="C417" s="98" t="s">
        <v>3189</v>
      </c>
      <c r="D417" s="98" t="s">
        <v>2834</v>
      </c>
      <c r="E417" s="540" t="s">
        <v>4067</v>
      </c>
      <c r="F417" s="540" t="s">
        <v>5455</v>
      </c>
      <c r="G417" s="555" t="s">
        <v>1443</v>
      </c>
      <c r="H417" s="555" t="s">
        <v>3753</v>
      </c>
      <c r="I417" s="556" t="s">
        <v>4047</v>
      </c>
      <c r="J417" s="557" t="s">
        <v>1063</v>
      </c>
      <c r="K417" s="558" t="s">
        <v>2886</v>
      </c>
      <c r="L417" s="95"/>
      <c r="M417" s="104"/>
      <c r="N417" s="137">
        <v>2117890.66</v>
      </c>
      <c r="O417" s="138">
        <v>2153000</v>
      </c>
      <c r="P417" s="138">
        <v>1763000</v>
      </c>
      <c r="Q417" s="138">
        <v>1763000</v>
      </c>
      <c r="R417" s="138">
        <v>1763000</v>
      </c>
      <c r="S417" s="139">
        <v>1763000</v>
      </c>
      <c r="T417" s="322">
        <f t="shared" si="93"/>
        <v>-354890.66000000015</v>
      </c>
      <c r="U417" s="140">
        <f t="shared" si="94"/>
        <v>-0.16756798011470531</v>
      </c>
      <c r="V417" s="322">
        <f t="shared" si="90"/>
        <v>-390000</v>
      </c>
      <c r="W417" s="140">
        <f t="shared" si="95"/>
        <v>-0.18114259173246633</v>
      </c>
      <c r="X417" s="322">
        <f t="shared" si="96"/>
        <v>0</v>
      </c>
      <c r="Y417" s="140">
        <f t="shared" si="97"/>
        <v>0</v>
      </c>
      <c r="Z417" s="519">
        <v>1386902.68</v>
      </c>
      <c r="AA417" s="111">
        <f t="shared" si="91"/>
        <v>1849203.5733333332</v>
      </c>
      <c r="AB417" s="111">
        <f t="shared" si="92"/>
        <v>-86203.573333333246</v>
      </c>
    </row>
    <row r="418" spans="1:28" ht="36" customHeight="1">
      <c r="A418" s="117" t="s">
        <v>2256</v>
      </c>
      <c r="B418" s="127" t="s">
        <v>2240</v>
      </c>
      <c r="C418" s="99" t="s">
        <v>3194</v>
      </c>
      <c r="D418" s="99" t="s">
        <v>3185</v>
      </c>
      <c r="E418" s="534" t="s">
        <v>2258</v>
      </c>
      <c r="F418" s="534" t="s">
        <v>2257</v>
      </c>
      <c r="G418" s="555"/>
      <c r="H418" s="555"/>
      <c r="I418" s="556"/>
      <c r="J418" s="557"/>
      <c r="K418" s="558"/>
      <c r="L418" s="95"/>
      <c r="M418" s="104"/>
      <c r="N418" s="137">
        <v>0</v>
      </c>
      <c r="O418" s="138">
        <v>0</v>
      </c>
      <c r="P418" s="138">
        <v>0</v>
      </c>
      <c r="Q418" s="138">
        <v>0</v>
      </c>
      <c r="R418" s="138">
        <v>0</v>
      </c>
      <c r="S418" s="139">
        <v>0</v>
      </c>
      <c r="T418" s="322">
        <f t="shared" si="93"/>
        <v>0</v>
      </c>
      <c r="U418" s="140" t="str">
        <f t="shared" si="94"/>
        <v/>
      </c>
      <c r="V418" s="322">
        <f t="shared" si="90"/>
        <v>0</v>
      </c>
      <c r="W418" s="140" t="str">
        <f t="shared" si="95"/>
        <v/>
      </c>
      <c r="X418" s="322">
        <f t="shared" si="96"/>
        <v>0</v>
      </c>
      <c r="Y418" s="140" t="str">
        <f t="shared" si="97"/>
        <v/>
      </c>
      <c r="Z418" s="519">
        <v>0</v>
      </c>
      <c r="AA418" s="111">
        <f t="shared" si="91"/>
        <v>0</v>
      </c>
      <c r="AB418" s="111">
        <f t="shared" si="92"/>
        <v>0</v>
      </c>
    </row>
    <row r="419" spans="1:28" ht="36" customHeight="1">
      <c r="A419" s="116" t="s">
        <v>2259</v>
      </c>
      <c r="B419" s="126" t="s">
        <v>2240</v>
      </c>
      <c r="C419" s="98" t="s">
        <v>3194</v>
      </c>
      <c r="D419" s="98" t="s">
        <v>3183</v>
      </c>
      <c r="E419" s="540" t="s">
        <v>4068</v>
      </c>
      <c r="F419" s="540" t="s">
        <v>5456</v>
      </c>
      <c r="G419" s="555" t="s">
        <v>575</v>
      </c>
      <c r="H419" s="555" t="s">
        <v>3743</v>
      </c>
      <c r="I419" s="556" t="s">
        <v>4026</v>
      </c>
      <c r="J419" s="557" t="s">
        <v>1008</v>
      </c>
      <c r="K419" s="558" t="s">
        <v>2884</v>
      </c>
      <c r="L419" s="95"/>
      <c r="M419" s="104"/>
      <c r="N419" s="137">
        <v>74091.600000000006</v>
      </c>
      <c r="O419" s="138">
        <v>60000</v>
      </c>
      <c r="P419" s="138">
        <v>102000</v>
      </c>
      <c r="Q419" s="138">
        <v>102000</v>
      </c>
      <c r="R419" s="138">
        <v>102000</v>
      </c>
      <c r="S419" s="139">
        <v>102000</v>
      </c>
      <c r="T419" s="322">
        <f t="shared" si="93"/>
        <v>27908.399999999994</v>
      </c>
      <c r="U419" s="140">
        <f t="shared" si="94"/>
        <v>0.37667427886562027</v>
      </c>
      <c r="V419" s="322">
        <f t="shared" si="90"/>
        <v>42000</v>
      </c>
      <c r="W419" s="140">
        <f t="shared" si="95"/>
        <v>0.7</v>
      </c>
      <c r="X419" s="322">
        <f t="shared" si="96"/>
        <v>0</v>
      </c>
      <c r="Y419" s="140">
        <f t="shared" si="97"/>
        <v>0</v>
      </c>
      <c r="Z419" s="519">
        <v>77000</v>
      </c>
      <c r="AA419" s="111">
        <f t="shared" si="91"/>
        <v>102666.66666666667</v>
      </c>
      <c r="AB419" s="111">
        <f t="shared" si="92"/>
        <v>-666.66666666667152</v>
      </c>
    </row>
    <row r="420" spans="1:28" ht="36" customHeight="1">
      <c r="A420" s="116" t="s">
        <v>3614</v>
      </c>
      <c r="B420" s="126" t="s">
        <v>2240</v>
      </c>
      <c r="C420" s="98" t="s">
        <v>3194</v>
      </c>
      <c r="D420" s="98" t="s">
        <v>2833</v>
      </c>
      <c r="E420" s="540" t="s">
        <v>4069</v>
      </c>
      <c r="F420" s="540" t="s">
        <v>5457</v>
      </c>
      <c r="G420" s="555" t="s">
        <v>578</v>
      </c>
      <c r="H420" s="555" t="s">
        <v>3745</v>
      </c>
      <c r="I420" s="556" t="s">
        <v>4029</v>
      </c>
      <c r="J420" s="557" t="s">
        <v>1008</v>
      </c>
      <c r="K420" s="558" t="s">
        <v>2884</v>
      </c>
      <c r="L420" s="95"/>
      <c r="M420" s="104"/>
      <c r="N420" s="137">
        <v>0</v>
      </c>
      <c r="O420" s="138">
        <v>0</v>
      </c>
      <c r="P420" s="138">
        <v>0</v>
      </c>
      <c r="Q420" s="138">
        <v>0</v>
      </c>
      <c r="R420" s="138">
        <v>0</v>
      </c>
      <c r="S420" s="139">
        <v>0</v>
      </c>
      <c r="T420" s="322">
        <f t="shared" si="93"/>
        <v>0</v>
      </c>
      <c r="U420" s="140" t="str">
        <f t="shared" si="94"/>
        <v/>
      </c>
      <c r="V420" s="322">
        <f t="shared" si="90"/>
        <v>0</v>
      </c>
      <c r="W420" s="140" t="str">
        <f t="shared" si="95"/>
        <v/>
      </c>
      <c r="X420" s="322">
        <f t="shared" si="96"/>
        <v>0</v>
      </c>
      <c r="Y420" s="140" t="str">
        <f t="shared" si="97"/>
        <v/>
      </c>
      <c r="Z420" s="519">
        <v>0</v>
      </c>
      <c r="AA420" s="111">
        <f t="shared" si="91"/>
        <v>0</v>
      </c>
      <c r="AB420" s="111">
        <f t="shared" si="92"/>
        <v>0</v>
      </c>
    </row>
    <row r="421" spans="1:28" ht="36" customHeight="1">
      <c r="A421" s="116" t="s">
        <v>2260</v>
      </c>
      <c r="B421" s="126" t="s">
        <v>2240</v>
      </c>
      <c r="C421" s="98" t="s">
        <v>3194</v>
      </c>
      <c r="D421" s="98" t="s">
        <v>3193</v>
      </c>
      <c r="E421" s="540" t="s">
        <v>4070</v>
      </c>
      <c r="F421" s="540" t="s">
        <v>4071</v>
      </c>
      <c r="G421" s="555" t="s">
        <v>584</v>
      </c>
      <c r="H421" s="555" t="s">
        <v>3747</v>
      </c>
      <c r="I421" s="556" t="s">
        <v>4036</v>
      </c>
      <c r="J421" s="557" t="s">
        <v>1031</v>
      </c>
      <c r="K421" s="558" t="s">
        <v>2885</v>
      </c>
      <c r="L421" s="95"/>
      <c r="M421" s="104"/>
      <c r="N421" s="137">
        <v>70271.86</v>
      </c>
      <c r="O421" s="138">
        <v>25000</v>
      </c>
      <c r="P421" s="138">
        <v>465000</v>
      </c>
      <c r="Q421" s="138">
        <v>465000</v>
      </c>
      <c r="R421" s="138">
        <v>465000</v>
      </c>
      <c r="S421" s="139">
        <v>465000</v>
      </c>
      <c r="T421" s="322">
        <f t="shared" si="93"/>
        <v>394728.14</v>
      </c>
      <c r="U421" s="140">
        <f t="shared" si="94"/>
        <v>5.6171579918334311</v>
      </c>
      <c r="V421" s="322">
        <f t="shared" si="90"/>
        <v>440000</v>
      </c>
      <c r="W421" s="140">
        <f t="shared" si="95"/>
        <v>17.600000000000001</v>
      </c>
      <c r="X421" s="322">
        <f t="shared" si="96"/>
        <v>0</v>
      </c>
      <c r="Y421" s="140">
        <f t="shared" si="97"/>
        <v>0</v>
      </c>
      <c r="Z421" s="519">
        <v>349208.07</v>
      </c>
      <c r="AA421" s="111">
        <f t="shared" si="91"/>
        <v>465610.76</v>
      </c>
      <c r="AB421" s="111">
        <f t="shared" si="92"/>
        <v>-610.76000000000931</v>
      </c>
    </row>
    <row r="422" spans="1:28" ht="36" customHeight="1">
      <c r="A422" s="116" t="s">
        <v>3615</v>
      </c>
      <c r="B422" s="126" t="s">
        <v>2240</v>
      </c>
      <c r="C422" s="98" t="s">
        <v>3194</v>
      </c>
      <c r="D422" s="98" t="s">
        <v>1397</v>
      </c>
      <c r="E422" s="540" t="s">
        <v>4072</v>
      </c>
      <c r="F422" s="540" t="s">
        <v>4073</v>
      </c>
      <c r="G422" s="555" t="s">
        <v>586</v>
      </c>
      <c r="H422" s="555" t="s">
        <v>3749</v>
      </c>
      <c r="I422" s="556" t="s">
        <v>4039</v>
      </c>
      <c r="J422" s="557" t="s">
        <v>1031</v>
      </c>
      <c r="K422" s="558" t="s">
        <v>2885</v>
      </c>
      <c r="L422" s="95"/>
      <c r="M422" s="104"/>
      <c r="N422" s="137">
        <v>0</v>
      </c>
      <c r="O422" s="138">
        <v>0</v>
      </c>
      <c r="P422" s="138">
        <v>0</v>
      </c>
      <c r="Q422" s="138">
        <v>0</v>
      </c>
      <c r="R422" s="138">
        <v>0</v>
      </c>
      <c r="S422" s="139">
        <v>0</v>
      </c>
      <c r="T422" s="322">
        <f t="shared" si="93"/>
        <v>0</v>
      </c>
      <c r="U422" s="140" t="str">
        <f t="shared" si="94"/>
        <v/>
      </c>
      <c r="V422" s="322">
        <f t="shared" si="90"/>
        <v>0</v>
      </c>
      <c r="W422" s="140" t="str">
        <f t="shared" si="95"/>
        <v/>
      </c>
      <c r="X422" s="322">
        <f t="shared" si="96"/>
        <v>0</v>
      </c>
      <c r="Y422" s="140" t="str">
        <f t="shared" si="97"/>
        <v/>
      </c>
      <c r="Z422" s="519">
        <v>0</v>
      </c>
      <c r="AA422" s="111">
        <f t="shared" si="91"/>
        <v>0</v>
      </c>
      <c r="AB422" s="111">
        <f t="shared" si="92"/>
        <v>0</v>
      </c>
    </row>
    <row r="423" spans="1:28" ht="28.5" customHeight="1">
      <c r="A423" s="115" t="s">
        <v>2261</v>
      </c>
      <c r="B423" s="124" t="s">
        <v>2240</v>
      </c>
      <c r="C423" s="101" t="s">
        <v>2629</v>
      </c>
      <c r="D423" s="101" t="s">
        <v>3185</v>
      </c>
      <c r="E423" s="554" t="s">
        <v>1538</v>
      </c>
      <c r="F423" s="534" t="s">
        <v>1537</v>
      </c>
      <c r="G423" s="555"/>
      <c r="H423" s="555"/>
      <c r="I423" s="556"/>
      <c r="J423" s="557"/>
      <c r="K423" s="558"/>
      <c r="L423" s="95"/>
      <c r="M423" s="104"/>
      <c r="N423" s="137">
        <v>0</v>
      </c>
      <c r="O423" s="138">
        <v>0</v>
      </c>
      <c r="P423" s="138">
        <v>0</v>
      </c>
      <c r="Q423" s="138">
        <v>0</v>
      </c>
      <c r="R423" s="138">
        <v>0</v>
      </c>
      <c r="S423" s="139">
        <v>0</v>
      </c>
      <c r="T423" s="322">
        <f t="shared" si="93"/>
        <v>0</v>
      </c>
      <c r="U423" s="140" t="str">
        <f t="shared" si="94"/>
        <v/>
      </c>
      <c r="V423" s="322">
        <f t="shared" si="90"/>
        <v>0</v>
      </c>
      <c r="W423" s="140" t="str">
        <f t="shared" si="95"/>
        <v/>
      </c>
      <c r="X423" s="322">
        <f t="shared" si="96"/>
        <v>0</v>
      </c>
      <c r="Y423" s="140" t="str">
        <f t="shared" si="97"/>
        <v/>
      </c>
      <c r="Z423" s="519">
        <v>0</v>
      </c>
      <c r="AA423" s="111">
        <f t="shared" si="91"/>
        <v>0</v>
      </c>
      <c r="AB423" s="111">
        <f t="shared" si="92"/>
        <v>0</v>
      </c>
    </row>
    <row r="424" spans="1:28" ht="28.5" customHeight="1">
      <c r="A424" s="116" t="s">
        <v>1539</v>
      </c>
      <c r="B424" s="126" t="s">
        <v>2240</v>
      </c>
      <c r="C424" s="98" t="s">
        <v>2629</v>
      </c>
      <c r="D424" s="98" t="s">
        <v>3183</v>
      </c>
      <c r="E424" s="540" t="s">
        <v>4074</v>
      </c>
      <c r="F424" s="540" t="s">
        <v>4075</v>
      </c>
      <c r="G424" s="555" t="s">
        <v>575</v>
      </c>
      <c r="H424" s="555" t="s">
        <v>3743</v>
      </c>
      <c r="I424" s="556" t="s">
        <v>4026</v>
      </c>
      <c r="J424" s="557" t="s">
        <v>1008</v>
      </c>
      <c r="K424" s="558" t="s">
        <v>2884</v>
      </c>
      <c r="L424" s="95"/>
      <c r="M424" s="104"/>
      <c r="N424" s="137">
        <v>34478281.629999995</v>
      </c>
      <c r="O424" s="138">
        <v>35205000</v>
      </c>
      <c r="P424" s="138">
        <v>35009000</v>
      </c>
      <c r="Q424" s="138">
        <f>35924000-389000</f>
        <v>35535000</v>
      </c>
      <c r="R424" s="138">
        <f>37270000-389000</f>
        <v>36881000</v>
      </c>
      <c r="S424" s="139">
        <f>38386000-389000</f>
        <v>37997000</v>
      </c>
      <c r="T424" s="322">
        <f t="shared" si="93"/>
        <v>1056718.3700000048</v>
      </c>
      <c r="U424" s="140">
        <f t="shared" si="94"/>
        <v>3.0648811948926727E-2</v>
      </c>
      <c r="V424" s="322">
        <f t="shared" si="90"/>
        <v>330000</v>
      </c>
      <c r="W424" s="140">
        <f t="shared" si="95"/>
        <v>9.3736685129953128E-3</v>
      </c>
      <c r="X424" s="322">
        <f t="shared" si="96"/>
        <v>526000</v>
      </c>
      <c r="Y424" s="140">
        <f t="shared" si="97"/>
        <v>1.5024707932245994E-2</v>
      </c>
      <c r="Z424" s="519">
        <v>26256840.329999998</v>
      </c>
      <c r="AA424" s="111">
        <f t="shared" si="91"/>
        <v>35009120.439999998</v>
      </c>
      <c r="AB424" s="111">
        <f t="shared" si="92"/>
        <v>-120.43999999761581</v>
      </c>
    </row>
    <row r="425" spans="1:28" ht="28.5" customHeight="1">
      <c r="A425" s="116" t="s">
        <v>3616</v>
      </c>
      <c r="B425" s="126" t="s">
        <v>2240</v>
      </c>
      <c r="C425" s="98" t="s">
        <v>2629</v>
      </c>
      <c r="D425" s="98" t="s">
        <v>2833</v>
      </c>
      <c r="E425" s="540" t="s">
        <v>4076</v>
      </c>
      <c r="F425" s="540" t="s">
        <v>4077</v>
      </c>
      <c r="G425" s="555" t="s">
        <v>578</v>
      </c>
      <c r="H425" s="555" t="s">
        <v>3745</v>
      </c>
      <c r="I425" s="556" t="s">
        <v>4029</v>
      </c>
      <c r="J425" s="557" t="s">
        <v>1008</v>
      </c>
      <c r="K425" s="558" t="s">
        <v>2884</v>
      </c>
      <c r="L425" s="95"/>
      <c r="M425" s="104"/>
      <c r="N425" s="137">
        <v>7464694.21</v>
      </c>
      <c r="O425" s="138">
        <v>7556000</v>
      </c>
      <c r="P425" s="138">
        <v>7920000</v>
      </c>
      <c r="Q425" s="138">
        <f>8286000-197000</f>
        <v>8089000</v>
      </c>
      <c r="R425" s="138">
        <f>8815000-197000</f>
        <v>8618000</v>
      </c>
      <c r="S425" s="139">
        <f>9267000-197000</f>
        <v>9070000</v>
      </c>
      <c r="T425" s="322">
        <f t="shared" si="93"/>
        <v>624305.79</v>
      </c>
      <c r="U425" s="140">
        <f t="shared" si="94"/>
        <v>8.3634476166974836E-2</v>
      </c>
      <c r="V425" s="322">
        <f t="shared" si="90"/>
        <v>533000</v>
      </c>
      <c r="W425" s="140">
        <f t="shared" si="95"/>
        <v>7.053996823716252E-2</v>
      </c>
      <c r="X425" s="322">
        <f t="shared" si="96"/>
        <v>169000</v>
      </c>
      <c r="Y425" s="140">
        <f t="shared" si="97"/>
        <v>2.1338383838383837E-2</v>
      </c>
      <c r="Z425" s="519">
        <v>5940172.4500000002</v>
      </c>
      <c r="AA425" s="111">
        <f t="shared" si="91"/>
        <v>7920229.9333333336</v>
      </c>
      <c r="AB425" s="111">
        <f t="shared" si="92"/>
        <v>-229.93333333358169</v>
      </c>
    </row>
    <row r="426" spans="1:28" ht="28.5" customHeight="1">
      <c r="A426" s="116" t="s">
        <v>1540</v>
      </c>
      <c r="B426" s="126" t="s">
        <v>2240</v>
      </c>
      <c r="C426" s="98" t="s">
        <v>2629</v>
      </c>
      <c r="D426" s="98" t="s">
        <v>3193</v>
      </c>
      <c r="E426" s="540" t="s">
        <v>4078</v>
      </c>
      <c r="F426" s="540" t="s">
        <v>5458</v>
      </c>
      <c r="G426" s="555" t="s">
        <v>584</v>
      </c>
      <c r="H426" s="555" t="s">
        <v>3747</v>
      </c>
      <c r="I426" s="556" t="s">
        <v>4036</v>
      </c>
      <c r="J426" s="557" t="s">
        <v>1031</v>
      </c>
      <c r="K426" s="558" t="s">
        <v>2885</v>
      </c>
      <c r="L426" s="95"/>
      <c r="M426" s="104"/>
      <c r="N426" s="137">
        <v>5995058.0800000001</v>
      </c>
      <c r="O426" s="138">
        <v>6073000</v>
      </c>
      <c r="P426" s="138">
        <v>5832000</v>
      </c>
      <c r="Q426" s="138">
        <v>5934000</v>
      </c>
      <c r="R426" s="138">
        <v>5981000</v>
      </c>
      <c r="S426" s="139">
        <v>6010000</v>
      </c>
      <c r="T426" s="322">
        <f t="shared" si="93"/>
        <v>-61058.080000000075</v>
      </c>
      <c r="U426" s="140">
        <f t="shared" si="94"/>
        <v>-1.0184735357893326E-2</v>
      </c>
      <c r="V426" s="322">
        <f t="shared" si="90"/>
        <v>-139000</v>
      </c>
      <c r="W426" s="140">
        <f t="shared" si="95"/>
        <v>-2.2888193643998023E-2</v>
      </c>
      <c r="X426" s="322">
        <f t="shared" si="96"/>
        <v>102000</v>
      </c>
      <c r="Y426" s="140">
        <f t="shared" si="97"/>
        <v>1.7489711934156379E-2</v>
      </c>
      <c r="Z426" s="519">
        <v>4374100.74</v>
      </c>
      <c r="AA426" s="111">
        <f t="shared" si="91"/>
        <v>5832134.3200000003</v>
      </c>
      <c r="AB426" s="111">
        <f t="shared" si="92"/>
        <v>-134.32000000029802</v>
      </c>
    </row>
    <row r="427" spans="1:28" ht="28.5" customHeight="1">
      <c r="A427" s="116" t="s">
        <v>3617</v>
      </c>
      <c r="B427" s="126" t="s">
        <v>2240</v>
      </c>
      <c r="C427" s="98" t="s">
        <v>2629</v>
      </c>
      <c r="D427" s="98" t="s">
        <v>1397</v>
      </c>
      <c r="E427" s="540" t="s">
        <v>4079</v>
      </c>
      <c r="F427" s="540" t="s">
        <v>5459</v>
      </c>
      <c r="G427" s="555" t="s">
        <v>586</v>
      </c>
      <c r="H427" s="555" t="s">
        <v>3749</v>
      </c>
      <c r="I427" s="556" t="s">
        <v>4039</v>
      </c>
      <c r="J427" s="557" t="s">
        <v>1031</v>
      </c>
      <c r="K427" s="558" t="s">
        <v>2885</v>
      </c>
      <c r="L427" s="95"/>
      <c r="M427" s="104"/>
      <c r="N427" s="137">
        <v>568093.18999999994</v>
      </c>
      <c r="O427" s="138">
        <v>619000</v>
      </c>
      <c r="P427" s="138">
        <v>700000</v>
      </c>
      <c r="Q427" s="138">
        <v>734000</v>
      </c>
      <c r="R427" s="138">
        <v>744000</v>
      </c>
      <c r="S427" s="139">
        <v>746000</v>
      </c>
      <c r="T427" s="322">
        <f t="shared" si="93"/>
        <v>165906.81000000006</v>
      </c>
      <c r="U427" s="140">
        <f t="shared" si="94"/>
        <v>0.2920415398748224</v>
      </c>
      <c r="V427" s="322">
        <f t="shared" si="90"/>
        <v>115000</v>
      </c>
      <c r="W427" s="140">
        <f t="shared" si="95"/>
        <v>0.18578352180936994</v>
      </c>
      <c r="X427" s="322">
        <f t="shared" si="96"/>
        <v>34000</v>
      </c>
      <c r="Y427" s="140">
        <f t="shared" si="97"/>
        <v>4.8571428571428571E-2</v>
      </c>
      <c r="Z427" s="519">
        <v>524978.24</v>
      </c>
      <c r="AA427" s="111">
        <f t="shared" si="91"/>
        <v>699970.98666666669</v>
      </c>
      <c r="AB427" s="111">
        <f t="shared" si="92"/>
        <v>29.013333333306946</v>
      </c>
    </row>
    <row r="428" spans="1:28" ht="28.5" customHeight="1">
      <c r="A428" s="116" t="s">
        <v>1541</v>
      </c>
      <c r="B428" s="126" t="s">
        <v>2240</v>
      </c>
      <c r="C428" s="98" t="s">
        <v>2629</v>
      </c>
      <c r="D428" s="98" t="s">
        <v>2631</v>
      </c>
      <c r="E428" s="540" t="s">
        <v>4080</v>
      </c>
      <c r="F428" s="540" t="s">
        <v>5460</v>
      </c>
      <c r="G428" s="555" t="s">
        <v>592</v>
      </c>
      <c r="H428" s="555" t="s">
        <v>3751</v>
      </c>
      <c r="I428" s="556" t="s">
        <v>4045</v>
      </c>
      <c r="J428" s="557" t="s">
        <v>1063</v>
      </c>
      <c r="K428" s="558" t="s">
        <v>2886</v>
      </c>
      <c r="L428" s="95"/>
      <c r="M428" s="104"/>
      <c r="N428" s="137">
        <v>45378330.950000003</v>
      </c>
      <c r="O428" s="138">
        <v>46190000</v>
      </c>
      <c r="P428" s="138">
        <v>45400000</v>
      </c>
      <c r="Q428" s="138">
        <f>46345000-174000</f>
        <v>46171000</v>
      </c>
      <c r="R428" s="138">
        <f>47060000-174000</f>
        <v>46886000</v>
      </c>
      <c r="S428" s="139">
        <f>47646000-174000</f>
        <v>47472000</v>
      </c>
      <c r="T428" s="322">
        <f t="shared" si="93"/>
        <v>792669.04999999702</v>
      </c>
      <c r="U428" s="140">
        <f t="shared" si="94"/>
        <v>1.7468008042724123E-2</v>
      </c>
      <c r="V428" s="322">
        <f t="shared" si="90"/>
        <v>-19000</v>
      </c>
      <c r="W428" s="140">
        <f t="shared" si="95"/>
        <v>-4.1134444684996752E-4</v>
      </c>
      <c r="X428" s="322">
        <f t="shared" si="96"/>
        <v>771000</v>
      </c>
      <c r="Y428" s="140">
        <f t="shared" si="97"/>
        <v>1.698237885462555E-2</v>
      </c>
      <c r="Z428" s="519">
        <v>34049930.149999999</v>
      </c>
      <c r="AA428" s="111">
        <f t="shared" si="91"/>
        <v>45399906.866666667</v>
      </c>
      <c r="AB428" s="111">
        <f t="shared" si="92"/>
        <v>93.133333332836628</v>
      </c>
    </row>
    <row r="429" spans="1:28" ht="28.5" customHeight="1">
      <c r="A429" s="116" t="s">
        <v>2932</v>
      </c>
      <c r="B429" s="126" t="s">
        <v>2240</v>
      </c>
      <c r="C429" s="98" t="s">
        <v>2629</v>
      </c>
      <c r="D429" s="98" t="s">
        <v>2834</v>
      </c>
      <c r="E429" s="540" t="s">
        <v>4081</v>
      </c>
      <c r="F429" s="540" t="s">
        <v>5461</v>
      </c>
      <c r="G429" s="555" t="s">
        <v>1443</v>
      </c>
      <c r="H429" s="555" t="s">
        <v>3753</v>
      </c>
      <c r="I429" s="556" t="s">
        <v>4047</v>
      </c>
      <c r="J429" s="557" t="s">
        <v>1063</v>
      </c>
      <c r="K429" s="558" t="s">
        <v>2886</v>
      </c>
      <c r="L429" s="95"/>
      <c r="M429" s="104"/>
      <c r="N429" s="137">
        <v>9312048.4199999999</v>
      </c>
      <c r="O429" s="138">
        <v>9360000</v>
      </c>
      <c r="P429" s="138">
        <v>7853000</v>
      </c>
      <c r="Q429" s="138">
        <f>8105000-91000</f>
        <v>8014000</v>
      </c>
      <c r="R429" s="138">
        <f>8333000-91000</f>
        <v>8242000</v>
      </c>
      <c r="S429" s="139">
        <f>8430000-91000</f>
        <v>8339000</v>
      </c>
      <c r="T429" s="322">
        <f t="shared" si="93"/>
        <v>-1298048.42</v>
      </c>
      <c r="U429" s="140">
        <f t="shared" si="94"/>
        <v>-0.1393945092910073</v>
      </c>
      <c r="V429" s="322">
        <f t="shared" si="90"/>
        <v>-1346000</v>
      </c>
      <c r="W429" s="140">
        <f t="shared" si="95"/>
        <v>-0.14380341880341879</v>
      </c>
      <c r="X429" s="322">
        <f t="shared" si="96"/>
        <v>161000</v>
      </c>
      <c r="Y429" s="140">
        <f t="shared" si="97"/>
        <v>2.050171908824653E-2</v>
      </c>
      <c r="Z429" s="519">
        <v>5889414</v>
      </c>
      <c r="AA429" s="111">
        <f t="shared" si="91"/>
        <v>7852552</v>
      </c>
      <c r="AB429" s="111">
        <f t="shared" si="92"/>
        <v>448</v>
      </c>
    </row>
    <row r="430" spans="1:28" ht="42">
      <c r="A430" s="116" t="s">
        <v>1542</v>
      </c>
      <c r="B430" s="126" t="s">
        <v>2240</v>
      </c>
      <c r="C430" s="98" t="s">
        <v>2629</v>
      </c>
      <c r="D430" s="98" t="s">
        <v>1404</v>
      </c>
      <c r="E430" s="540" t="s">
        <v>4082</v>
      </c>
      <c r="F430" s="540" t="s">
        <v>4083</v>
      </c>
      <c r="G430" s="555" t="s">
        <v>575</v>
      </c>
      <c r="H430" s="555" t="s">
        <v>3743</v>
      </c>
      <c r="I430" s="556" t="s">
        <v>4026</v>
      </c>
      <c r="J430" s="557" t="s">
        <v>1008</v>
      </c>
      <c r="K430" s="558" t="s">
        <v>2884</v>
      </c>
      <c r="L430" s="95"/>
      <c r="M430" s="104"/>
      <c r="N430" s="137">
        <v>0</v>
      </c>
      <c r="O430" s="138">
        <v>0</v>
      </c>
      <c r="P430" s="138">
        <v>0</v>
      </c>
      <c r="Q430" s="138">
        <v>0</v>
      </c>
      <c r="R430" s="138">
        <v>0</v>
      </c>
      <c r="S430" s="139">
        <v>0</v>
      </c>
      <c r="T430" s="322">
        <f t="shared" si="93"/>
        <v>0</v>
      </c>
      <c r="U430" s="140" t="str">
        <f t="shared" si="94"/>
        <v/>
      </c>
      <c r="V430" s="322">
        <f t="shared" si="90"/>
        <v>0</v>
      </c>
      <c r="W430" s="140" t="str">
        <f t="shared" si="95"/>
        <v/>
      </c>
      <c r="X430" s="322">
        <f t="shared" si="96"/>
        <v>0</v>
      </c>
      <c r="Y430" s="140" t="str">
        <f t="shared" si="97"/>
        <v/>
      </c>
      <c r="Z430" s="519">
        <v>0</v>
      </c>
      <c r="AA430" s="111">
        <f t="shared" si="91"/>
        <v>0</v>
      </c>
      <c r="AB430" s="111">
        <f t="shared" si="92"/>
        <v>0</v>
      </c>
    </row>
    <row r="431" spans="1:28" ht="42">
      <c r="A431" s="116" t="s">
        <v>2933</v>
      </c>
      <c r="B431" s="126" t="s">
        <v>2240</v>
      </c>
      <c r="C431" s="98" t="s">
        <v>2629</v>
      </c>
      <c r="D431" s="98" t="s">
        <v>1372</v>
      </c>
      <c r="E431" s="540" t="s">
        <v>4084</v>
      </c>
      <c r="F431" s="540" t="s">
        <v>4085</v>
      </c>
      <c r="G431" s="555" t="s">
        <v>578</v>
      </c>
      <c r="H431" s="555" t="s">
        <v>3745</v>
      </c>
      <c r="I431" s="556" t="s">
        <v>4029</v>
      </c>
      <c r="J431" s="557" t="s">
        <v>1008</v>
      </c>
      <c r="K431" s="558" t="s">
        <v>2884</v>
      </c>
      <c r="L431" s="95"/>
      <c r="M431" s="104"/>
      <c r="N431" s="137">
        <v>0</v>
      </c>
      <c r="O431" s="138">
        <v>0</v>
      </c>
      <c r="P431" s="138">
        <v>0</v>
      </c>
      <c r="Q431" s="138">
        <v>0</v>
      </c>
      <c r="R431" s="138">
        <v>0</v>
      </c>
      <c r="S431" s="139">
        <v>0</v>
      </c>
      <c r="T431" s="322">
        <f t="shared" si="93"/>
        <v>0</v>
      </c>
      <c r="U431" s="140" t="str">
        <f t="shared" si="94"/>
        <v/>
      </c>
      <c r="V431" s="322">
        <f t="shared" si="90"/>
        <v>0</v>
      </c>
      <c r="W431" s="140" t="str">
        <f t="shared" si="95"/>
        <v/>
      </c>
      <c r="X431" s="322">
        <f t="shared" si="96"/>
        <v>0</v>
      </c>
      <c r="Y431" s="140" t="str">
        <f t="shared" si="97"/>
        <v/>
      </c>
      <c r="Z431" s="519">
        <v>0</v>
      </c>
      <c r="AA431" s="111">
        <f t="shared" si="91"/>
        <v>0</v>
      </c>
      <c r="AB431" s="111">
        <f t="shared" si="92"/>
        <v>0</v>
      </c>
    </row>
    <row r="432" spans="1:28" ht="42">
      <c r="A432" s="116" t="s">
        <v>1543</v>
      </c>
      <c r="B432" s="126" t="s">
        <v>2240</v>
      </c>
      <c r="C432" s="98" t="s">
        <v>2629</v>
      </c>
      <c r="D432" s="98" t="s">
        <v>1405</v>
      </c>
      <c r="E432" s="540" t="s">
        <v>4086</v>
      </c>
      <c r="F432" s="540" t="s">
        <v>4087</v>
      </c>
      <c r="G432" s="555" t="s">
        <v>584</v>
      </c>
      <c r="H432" s="555" t="s">
        <v>3747</v>
      </c>
      <c r="I432" s="556" t="s">
        <v>4036</v>
      </c>
      <c r="J432" s="557" t="s">
        <v>1031</v>
      </c>
      <c r="K432" s="558" t="s">
        <v>2885</v>
      </c>
      <c r="L432" s="95"/>
      <c r="M432" s="104"/>
      <c r="N432" s="137">
        <v>0</v>
      </c>
      <c r="O432" s="138">
        <v>0</v>
      </c>
      <c r="P432" s="138">
        <v>0</v>
      </c>
      <c r="Q432" s="138">
        <v>0</v>
      </c>
      <c r="R432" s="138">
        <v>0</v>
      </c>
      <c r="S432" s="139">
        <v>0</v>
      </c>
      <c r="T432" s="322">
        <f t="shared" si="93"/>
        <v>0</v>
      </c>
      <c r="U432" s="140" t="str">
        <f t="shared" si="94"/>
        <v/>
      </c>
      <c r="V432" s="322">
        <f t="shared" si="90"/>
        <v>0</v>
      </c>
      <c r="W432" s="140" t="str">
        <f t="shared" si="95"/>
        <v/>
      </c>
      <c r="X432" s="322">
        <f t="shared" si="96"/>
        <v>0</v>
      </c>
      <c r="Y432" s="140" t="str">
        <f t="shared" si="97"/>
        <v/>
      </c>
      <c r="Z432" s="519">
        <v>0</v>
      </c>
      <c r="AA432" s="111">
        <f t="shared" si="91"/>
        <v>0</v>
      </c>
      <c r="AB432" s="111">
        <f t="shared" si="92"/>
        <v>0</v>
      </c>
    </row>
    <row r="433" spans="1:28" ht="42">
      <c r="A433" s="116" t="s">
        <v>2934</v>
      </c>
      <c r="B433" s="126" t="s">
        <v>2240</v>
      </c>
      <c r="C433" s="98" t="s">
        <v>2629</v>
      </c>
      <c r="D433" s="98" t="s">
        <v>3085</v>
      </c>
      <c r="E433" s="540" t="s">
        <v>4088</v>
      </c>
      <c r="F433" s="540" t="s">
        <v>4089</v>
      </c>
      <c r="G433" s="555" t="s">
        <v>586</v>
      </c>
      <c r="H433" s="555" t="s">
        <v>3749</v>
      </c>
      <c r="I433" s="556" t="s">
        <v>4039</v>
      </c>
      <c r="J433" s="557" t="s">
        <v>1031</v>
      </c>
      <c r="K433" s="558" t="s">
        <v>2885</v>
      </c>
      <c r="L433" s="95"/>
      <c r="M433" s="104"/>
      <c r="N433" s="137">
        <v>0</v>
      </c>
      <c r="O433" s="138">
        <v>0</v>
      </c>
      <c r="P433" s="138">
        <v>0</v>
      </c>
      <c r="Q433" s="138">
        <v>0</v>
      </c>
      <c r="R433" s="138">
        <v>0</v>
      </c>
      <c r="S433" s="139">
        <v>0</v>
      </c>
      <c r="T433" s="322">
        <f t="shared" si="93"/>
        <v>0</v>
      </c>
      <c r="U433" s="140" t="str">
        <f t="shared" si="94"/>
        <v/>
      </c>
      <c r="V433" s="322">
        <f t="shared" si="90"/>
        <v>0</v>
      </c>
      <c r="W433" s="140" t="str">
        <f t="shared" si="95"/>
        <v/>
      </c>
      <c r="X433" s="322">
        <f t="shared" si="96"/>
        <v>0</v>
      </c>
      <c r="Y433" s="140" t="str">
        <f t="shared" si="97"/>
        <v/>
      </c>
      <c r="Z433" s="519">
        <v>0</v>
      </c>
      <c r="AA433" s="111">
        <f t="shared" si="91"/>
        <v>0</v>
      </c>
      <c r="AB433" s="111">
        <f t="shared" si="92"/>
        <v>0</v>
      </c>
    </row>
    <row r="434" spans="1:28" ht="42">
      <c r="A434" s="116" t="s">
        <v>1544</v>
      </c>
      <c r="B434" s="126" t="s">
        <v>2240</v>
      </c>
      <c r="C434" s="98" t="s">
        <v>2629</v>
      </c>
      <c r="D434" s="98" t="s">
        <v>2291</v>
      </c>
      <c r="E434" s="540" t="s">
        <v>4090</v>
      </c>
      <c r="F434" s="540" t="s">
        <v>5462</v>
      </c>
      <c r="G434" s="555" t="s">
        <v>592</v>
      </c>
      <c r="H434" s="555" t="s">
        <v>3751</v>
      </c>
      <c r="I434" s="556" t="s">
        <v>4045</v>
      </c>
      <c r="J434" s="557" t="s">
        <v>1063</v>
      </c>
      <c r="K434" s="558" t="s">
        <v>2886</v>
      </c>
      <c r="L434" s="95"/>
      <c r="M434" s="104"/>
      <c r="N434" s="137">
        <v>0</v>
      </c>
      <c r="O434" s="138">
        <v>0</v>
      </c>
      <c r="P434" s="138">
        <v>0</v>
      </c>
      <c r="Q434" s="138">
        <v>0</v>
      </c>
      <c r="R434" s="138">
        <v>0</v>
      </c>
      <c r="S434" s="139">
        <v>0</v>
      </c>
      <c r="T434" s="322">
        <f t="shared" si="93"/>
        <v>0</v>
      </c>
      <c r="U434" s="140" t="str">
        <f t="shared" si="94"/>
        <v/>
      </c>
      <c r="V434" s="322">
        <f t="shared" si="90"/>
        <v>0</v>
      </c>
      <c r="W434" s="140" t="str">
        <f t="shared" si="95"/>
        <v/>
      </c>
      <c r="X434" s="322">
        <f t="shared" si="96"/>
        <v>0</v>
      </c>
      <c r="Y434" s="140" t="str">
        <f t="shared" si="97"/>
        <v/>
      </c>
      <c r="Z434" s="519">
        <v>0</v>
      </c>
      <c r="AA434" s="111">
        <f t="shared" si="91"/>
        <v>0</v>
      </c>
      <c r="AB434" s="111">
        <f t="shared" si="92"/>
        <v>0</v>
      </c>
    </row>
    <row r="435" spans="1:28" ht="42">
      <c r="A435" s="116" t="s">
        <v>2935</v>
      </c>
      <c r="B435" s="126" t="s">
        <v>2240</v>
      </c>
      <c r="C435" s="98" t="s">
        <v>2629</v>
      </c>
      <c r="D435" s="98" t="s">
        <v>2632</v>
      </c>
      <c r="E435" s="540" t="s">
        <v>4091</v>
      </c>
      <c r="F435" s="540" t="s">
        <v>5463</v>
      </c>
      <c r="G435" s="555" t="s">
        <v>1443</v>
      </c>
      <c r="H435" s="555" t="s">
        <v>3753</v>
      </c>
      <c r="I435" s="556" t="s">
        <v>4047</v>
      </c>
      <c r="J435" s="557" t="s">
        <v>1063</v>
      </c>
      <c r="K435" s="558" t="s">
        <v>2886</v>
      </c>
      <c r="L435" s="95"/>
      <c r="M435" s="104"/>
      <c r="N435" s="137">
        <v>0</v>
      </c>
      <c r="O435" s="138">
        <v>0</v>
      </c>
      <c r="P435" s="138">
        <v>0</v>
      </c>
      <c r="Q435" s="138">
        <v>0</v>
      </c>
      <c r="R435" s="138">
        <v>0</v>
      </c>
      <c r="S435" s="139">
        <v>0</v>
      </c>
      <c r="T435" s="322">
        <f t="shared" si="93"/>
        <v>0</v>
      </c>
      <c r="U435" s="140" t="str">
        <f t="shared" si="94"/>
        <v/>
      </c>
      <c r="V435" s="322">
        <f t="shared" si="90"/>
        <v>0</v>
      </c>
      <c r="W435" s="140" t="str">
        <f t="shared" si="95"/>
        <v/>
      </c>
      <c r="X435" s="322">
        <f t="shared" si="96"/>
        <v>0</v>
      </c>
      <c r="Y435" s="140" t="str">
        <f t="shared" si="97"/>
        <v/>
      </c>
      <c r="Z435" s="519">
        <v>0</v>
      </c>
      <c r="AA435" s="111">
        <f t="shared" si="91"/>
        <v>0</v>
      </c>
      <c r="AB435" s="111">
        <f t="shared" si="92"/>
        <v>0</v>
      </c>
    </row>
    <row r="436" spans="1:28" ht="31.5">
      <c r="A436" s="115" t="s">
        <v>1545</v>
      </c>
      <c r="B436" s="124" t="s">
        <v>2240</v>
      </c>
      <c r="C436" s="101" t="s">
        <v>2630</v>
      </c>
      <c r="D436" s="101" t="s">
        <v>3185</v>
      </c>
      <c r="E436" s="554" t="s">
        <v>4092</v>
      </c>
      <c r="F436" s="534" t="s">
        <v>4093</v>
      </c>
      <c r="G436" s="555"/>
      <c r="H436" s="555"/>
      <c r="I436" s="556"/>
      <c r="J436" s="557"/>
      <c r="K436" s="558"/>
      <c r="L436" s="95"/>
      <c r="M436" s="104"/>
      <c r="N436" s="137">
        <v>0</v>
      </c>
      <c r="O436" s="138">
        <v>0</v>
      </c>
      <c r="P436" s="138">
        <v>0</v>
      </c>
      <c r="Q436" s="138">
        <v>0</v>
      </c>
      <c r="R436" s="138">
        <v>0</v>
      </c>
      <c r="S436" s="139">
        <v>0</v>
      </c>
      <c r="T436" s="322">
        <f t="shared" si="93"/>
        <v>0</v>
      </c>
      <c r="U436" s="140" t="str">
        <f t="shared" si="94"/>
        <v/>
      </c>
      <c r="V436" s="322">
        <f t="shared" si="90"/>
        <v>0</v>
      </c>
      <c r="W436" s="140" t="str">
        <f t="shared" si="95"/>
        <v/>
      </c>
      <c r="X436" s="322">
        <f t="shared" si="96"/>
        <v>0</v>
      </c>
      <c r="Y436" s="140" t="str">
        <f t="shared" si="97"/>
        <v/>
      </c>
      <c r="Z436" s="519">
        <v>0</v>
      </c>
      <c r="AA436" s="111">
        <f t="shared" si="91"/>
        <v>0</v>
      </c>
      <c r="AB436" s="111">
        <f t="shared" si="92"/>
        <v>0</v>
      </c>
    </row>
    <row r="437" spans="1:28" ht="47.25" customHeight="1">
      <c r="A437" s="116" t="s">
        <v>1546</v>
      </c>
      <c r="B437" s="126" t="s">
        <v>2240</v>
      </c>
      <c r="C437" s="98" t="s">
        <v>2630</v>
      </c>
      <c r="D437" s="98" t="s">
        <v>3183</v>
      </c>
      <c r="E437" s="540" t="s">
        <v>4353</v>
      </c>
      <c r="F437" s="540" t="s">
        <v>5464</v>
      </c>
      <c r="G437" s="555" t="s">
        <v>575</v>
      </c>
      <c r="H437" s="555" t="s">
        <v>3743</v>
      </c>
      <c r="I437" s="556" t="s">
        <v>4026</v>
      </c>
      <c r="J437" s="557" t="s">
        <v>1008</v>
      </c>
      <c r="K437" s="558" t="s">
        <v>2884</v>
      </c>
      <c r="L437" s="95"/>
      <c r="M437" s="104"/>
      <c r="N437" s="137">
        <v>3822555.15</v>
      </c>
      <c r="O437" s="138">
        <v>4030000</v>
      </c>
      <c r="P437" s="138">
        <v>4129000</v>
      </c>
      <c r="Q437" s="138">
        <v>4387000</v>
      </c>
      <c r="R437" s="138">
        <v>4776000</v>
      </c>
      <c r="S437" s="139">
        <v>5098000</v>
      </c>
      <c r="T437" s="322">
        <f t="shared" si="93"/>
        <v>564444.85000000009</v>
      </c>
      <c r="U437" s="140">
        <f t="shared" si="94"/>
        <v>0.14766166290628929</v>
      </c>
      <c r="V437" s="322">
        <f t="shared" si="90"/>
        <v>357000</v>
      </c>
      <c r="W437" s="140">
        <f t="shared" si="95"/>
        <v>8.8585607940446648E-2</v>
      </c>
      <c r="X437" s="322">
        <f t="shared" si="96"/>
        <v>258000</v>
      </c>
      <c r="Y437" s="140">
        <f t="shared" si="97"/>
        <v>6.2484863162993461E-2</v>
      </c>
      <c r="Z437" s="519">
        <v>3097000</v>
      </c>
      <c r="AA437" s="111">
        <f t="shared" si="91"/>
        <v>4129333.3333333335</v>
      </c>
      <c r="AB437" s="111">
        <f t="shared" si="92"/>
        <v>-333.33333333348855</v>
      </c>
    </row>
    <row r="438" spans="1:28" ht="47.25" customHeight="1">
      <c r="A438" s="116" t="s">
        <v>2936</v>
      </c>
      <c r="B438" s="126" t="s">
        <v>2240</v>
      </c>
      <c r="C438" s="98" t="s">
        <v>2630</v>
      </c>
      <c r="D438" s="98" t="s">
        <v>2833</v>
      </c>
      <c r="E438" s="540" t="s">
        <v>4354</v>
      </c>
      <c r="F438" s="540" t="s">
        <v>5465</v>
      </c>
      <c r="G438" s="555" t="s">
        <v>578</v>
      </c>
      <c r="H438" s="555" t="s">
        <v>3745</v>
      </c>
      <c r="I438" s="556" t="s">
        <v>4029</v>
      </c>
      <c r="J438" s="557" t="s">
        <v>1008</v>
      </c>
      <c r="K438" s="558" t="s">
        <v>2884</v>
      </c>
      <c r="L438" s="95"/>
      <c r="M438" s="104"/>
      <c r="N438" s="137">
        <v>448767.93</v>
      </c>
      <c r="O438" s="138">
        <v>370000</v>
      </c>
      <c r="P438" s="138">
        <v>571000</v>
      </c>
      <c r="Q438" s="138">
        <v>681000</v>
      </c>
      <c r="R438" s="138">
        <v>847000</v>
      </c>
      <c r="S438" s="139">
        <v>985000</v>
      </c>
      <c r="T438" s="322">
        <f t="shared" si="93"/>
        <v>232232.07</v>
      </c>
      <c r="U438" s="140">
        <f t="shared" si="94"/>
        <v>0.51748811462530309</v>
      </c>
      <c r="V438" s="322">
        <f t="shared" si="90"/>
        <v>311000</v>
      </c>
      <c r="W438" s="140">
        <f t="shared" si="95"/>
        <v>0.8405405405405405</v>
      </c>
      <c r="X438" s="322">
        <f t="shared" si="96"/>
        <v>110000</v>
      </c>
      <c r="Y438" s="140">
        <f t="shared" si="97"/>
        <v>0.19264448336252188</v>
      </c>
      <c r="Z438" s="519">
        <v>428000</v>
      </c>
      <c r="AA438" s="111">
        <f t="shared" si="91"/>
        <v>570666.66666666663</v>
      </c>
      <c r="AB438" s="111">
        <f t="shared" si="92"/>
        <v>333.33333333337214</v>
      </c>
    </row>
    <row r="439" spans="1:28" ht="47.25" customHeight="1">
      <c r="A439" s="116" t="s">
        <v>1547</v>
      </c>
      <c r="B439" s="126" t="s">
        <v>2240</v>
      </c>
      <c r="C439" s="98" t="s">
        <v>2630</v>
      </c>
      <c r="D439" s="98" t="s">
        <v>2138</v>
      </c>
      <c r="E439" s="540" t="s">
        <v>4355</v>
      </c>
      <c r="F439" s="540" t="s">
        <v>5466</v>
      </c>
      <c r="G439" s="555" t="s">
        <v>584</v>
      </c>
      <c r="H439" s="555" t="s">
        <v>3747</v>
      </c>
      <c r="I439" s="556" t="s">
        <v>4036</v>
      </c>
      <c r="J439" s="557" t="s">
        <v>1031</v>
      </c>
      <c r="K439" s="558" t="s">
        <v>2885</v>
      </c>
      <c r="L439" s="95"/>
      <c r="M439" s="104"/>
      <c r="N439" s="137">
        <v>631949.22</v>
      </c>
      <c r="O439" s="138">
        <v>644000</v>
      </c>
      <c r="P439" s="138">
        <v>795000</v>
      </c>
      <c r="Q439" s="138">
        <v>818000</v>
      </c>
      <c r="R439" s="138">
        <v>824000</v>
      </c>
      <c r="S439" s="139">
        <v>824000</v>
      </c>
      <c r="T439" s="322">
        <f t="shared" si="93"/>
        <v>186050.78000000003</v>
      </c>
      <c r="U439" s="140">
        <f t="shared" si="94"/>
        <v>0.29440780067740258</v>
      </c>
      <c r="V439" s="322">
        <f t="shared" si="90"/>
        <v>174000</v>
      </c>
      <c r="W439" s="140">
        <f t="shared" si="95"/>
        <v>0.27018633540372672</v>
      </c>
      <c r="X439" s="322">
        <f t="shared" si="96"/>
        <v>23000</v>
      </c>
      <c r="Y439" s="140">
        <f t="shared" si="97"/>
        <v>2.8930817610062894E-2</v>
      </c>
      <c r="Z439" s="519">
        <v>596000</v>
      </c>
      <c r="AA439" s="111">
        <f t="shared" si="91"/>
        <v>794666.66666666663</v>
      </c>
      <c r="AB439" s="111">
        <f t="shared" si="92"/>
        <v>333.33333333337214</v>
      </c>
    </row>
    <row r="440" spans="1:28" ht="47.25" customHeight="1">
      <c r="A440" s="116" t="s">
        <v>2385</v>
      </c>
      <c r="B440" s="126" t="s">
        <v>2240</v>
      </c>
      <c r="C440" s="98" t="s">
        <v>2630</v>
      </c>
      <c r="D440" s="98" t="s">
        <v>2468</v>
      </c>
      <c r="E440" s="540" t="s">
        <v>4356</v>
      </c>
      <c r="F440" s="540" t="s">
        <v>5467</v>
      </c>
      <c r="G440" s="555" t="s">
        <v>586</v>
      </c>
      <c r="H440" s="555" t="s">
        <v>3749</v>
      </c>
      <c r="I440" s="556" t="s">
        <v>4039</v>
      </c>
      <c r="J440" s="557" t="s">
        <v>1031</v>
      </c>
      <c r="K440" s="558" t="s">
        <v>2885</v>
      </c>
      <c r="L440" s="95"/>
      <c r="M440" s="104"/>
      <c r="N440" s="137">
        <v>61538.1</v>
      </c>
      <c r="O440" s="138">
        <v>48000</v>
      </c>
      <c r="P440" s="138">
        <v>54000</v>
      </c>
      <c r="Q440" s="138">
        <v>64000</v>
      </c>
      <c r="R440" s="138">
        <v>67000</v>
      </c>
      <c r="S440" s="139">
        <v>67000</v>
      </c>
      <c r="T440" s="322">
        <f t="shared" si="93"/>
        <v>2461.9000000000015</v>
      </c>
      <c r="U440" s="140">
        <f t="shared" si="94"/>
        <v>4.0006110035896485E-2</v>
      </c>
      <c r="V440" s="322">
        <f t="shared" si="90"/>
        <v>16000</v>
      </c>
      <c r="W440" s="140">
        <f t="shared" si="95"/>
        <v>0.33333333333333331</v>
      </c>
      <c r="X440" s="322">
        <f t="shared" si="96"/>
        <v>10000</v>
      </c>
      <c r="Y440" s="140">
        <f t="shared" si="97"/>
        <v>0.18518518518518517</v>
      </c>
      <c r="Z440" s="519">
        <v>41000</v>
      </c>
      <c r="AA440" s="111">
        <f t="shared" si="91"/>
        <v>54666.666666666664</v>
      </c>
      <c r="AB440" s="111">
        <f t="shared" si="92"/>
        <v>-666.66666666666424</v>
      </c>
    </row>
    <row r="441" spans="1:28" ht="47.25" customHeight="1">
      <c r="A441" s="116" t="s">
        <v>1548</v>
      </c>
      <c r="B441" s="126" t="s">
        <v>2240</v>
      </c>
      <c r="C441" s="98" t="s">
        <v>2630</v>
      </c>
      <c r="D441" s="98" t="s">
        <v>3193</v>
      </c>
      <c r="E441" s="540" t="s">
        <v>5468</v>
      </c>
      <c r="F441" s="540" t="s">
        <v>5469</v>
      </c>
      <c r="G441" s="555" t="s">
        <v>592</v>
      </c>
      <c r="H441" s="555" t="s">
        <v>3751</v>
      </c>
      <c r="I441" s="556" t="s">
        <v>4045</v>
      </c>
      <c r="J441" s="557" t="s">
        <v>1063</v>
      </c>
      <c r="K441" s="558" t="s">
        <v>2886</v>
      </c>
      <c r="L441" s="95"/>
      <c r="M441" s="104"/>
      <c r="N441" s="137">
        <v>3721865.44</v>
      </c>
      <c r="O441" s="138">
        <v>3710000</v>
      </c>
      <c r="P441" s="138">
        <v>3570000</v>
      </c>
      <c r="Q441" s="138">
        <v>3738000</v>
      </c>
      <c r="R441" s="138">
        <v>3873000</v>
      </c>
      <c r="S441" s="139">
        <v>3925000</v>
      </c>
      <c r="T441" s="322">
        <f t="shared" si="93"/>
        <v>16134.560000000056</v>
      </c>
      <c r="U441" s="140">
        <f t="shared" si="94"/>
        <v>4.3350734356479197E-3</v>
      </c>
      <c r="V441" s="322">
        <f t="shared" si="90"/>
        <v>28000</v>
      </c>
      <c r="W441" s="140">
        <f t="shared" si="95"/>
        <v>7.5471698113207548E-3</v>
      </c>
      <c r="X441" s="322">
        <f t="shared" si="96"/>
        <v>168000</v>
      </c>
      <c r="Y441" s="140">
        <f t="shared" si="97"/>
        <v>4.7058823529411764E-2</v>
      </c>
      <c r="Z441" s="519">
        <v>2678000</v>
      </c>
      <c r="AA441" s="111">
        <f t="shared" si="91"/>
        <v>3570666.6666666665</v>
      </c>
      <c r="AB441" s="111">
        <f t="shared" si="92"/>
        <v>-666.66666666651145</v>
      </c>
    </row>
    <row r="442" spans="1:28" ht="47.25" customHeight="1">
      <c r="A442" s="116" t="s">
        <v>2386</v>
      </c>
      <c r="B442" s="126" t="s">
        <v>2240</v>
      </c>
      <c r="C442" s="98" t="s">
        <v>2630</v>
      </c>
      <c r="D442" s="98" t="s">
        <v>1397</v>
      </c>
      <c r="E442" s="540" t="s">
        <v>4357</v>
      </c>
      <c r="F442" s="540" t="s">
        <v>5470</v>
      </c>
      <c r="G442" s="555" t="s">
        <v>1443</v>
      </c>
      <c r="H442" s="555" t="s">
        <v>3753</v>
      </c>
      <c r="I442" s="556" t="s">
        <v>4047</v>
      </c>
      <c r="J442" s="557" t="s">
        <v>1063</v>
      </c>
      <c r="K442" s="558" t="s">
        <v>2886</v>
      </c>
      <c r="L442" s="95"/>
      <c r="M442" s="104"/>
      <c r="N442" s="137">
        <v>597415.71</v>
      </c>
      <c r="O442" s="138">
        <v>492000</v>
      </c>
      <c r="P442" s="138">
        <v>642000</v>
      </c>
      <c r="Q442" s="138">
        <v>714000</v>
      </c>
      <c r="R442" s="138">
        <v>772000</v>
      </c>
      <c r="S442" s="139">
        <v>794000</v>
      </c>
      <c r="T442" s="322">
        <f t="shared" si="93"/>
        <v>116584.29000000004</v>
      </c>
      <c r="U442" s="140">
        <f t="shared" si="94"/>
        <v>0.1951476803313392</v>
      </c>
      <c r="V442" s="322">
        <f t="shared" si="90"/>
        <v>222000</v>
      </c>
      <c r="W442" s="140">
        <f t="shared" si="95"/>
        <v>0.45121951219512196</v>
      </c>
      <c r="X442" s="322">
        <f t="shared" si="96"/>
        <v>72000</v>
      </c>
      <c r="Y442" s="140">
        <f t="shared" si="97"/>
        <v>0.11214953271028037</v>
      </c>
      <c r="Z442" s="519">
        <v>482000</v>
      </c>
      <c r="AA442" s="111">
        <f t="shared" si="91"/>
        <v>642666.66666666663</v>
      </c>
      <c r="AB442" s="111">
        <f t="shared" si="92"/>
        <v>-666.66666666662786</v>
      </c>
    </row>
    <row r="443" spans="1:28" ht="36.75" customHeight="1">
      <c r="A443" s="116" t="s">
        <v>1549</v>
      </c>
      <c r="B443" s="126" t="s">
        <v>2240</v>
      </c>
      <c r="C443" s="98" t="s">
        <v>2630</v>
      </c>
      <c r="D443" s="98" t="s">
        <v>1401</v>
      </c>
      <c r="E443" s="540" t="s">
        <v>4094</v>
      </c>
      <c r="F443" s="540" t="s">
        <v>5471</v>
      </c>
      <c r="G443" s="555" t="s">
        <v>575</v>
      </c>
      <c r="H443" s="555" t="s">
        <v>3743</v>
      </c>
      <c r="I443" s="556" t="s">
        <v>4026</v>
      </c>
      <c r="J443" s="557" t="s">
        <v>1008</v>
      </c>
      <c r="K443" s="558" t="s">
        <v>2884</v>
      </c>
      <c r="L443" s="95"/>
      <c r="M443" s="104"/>
      <c r="N443" s="137">
        <v>2162794.59</v>
      </c>
      <c r="O443" s="138">
        <v>2095000</v>
      </c>
      <c r="P443" s="138">
        <v>2175000</v>
      </c>
      <c r="Q443" s="138">
        <v>2175000</v>
      </c>
      <c r="R443" s="138">
        <v>2175000</v>
      </c>
      <c r="S443" s="139">
        <v>2175000</v>
      </c>
      <c r="T443" s="322">
        <f t="shared" si="93"/>
        <v>12205.410000000149</v>
      </c>
      <c r="U443" s="140">
        <f t="shared" si="94"/>
        <v>5.643351456691109E-3</v>
      </c>
      <c r="V443" s="322">
        <f t="shared" si="90"/>
        <v>80000</v>
      </c>
      <c r="W443" s="140">
        <f t="shared" si="95"/>
        <v>3.8186157517899763E-2</v>
      </c>
      <c r="X443" s="322">
        <f t="shared" si="96"/>
        <v>0</v>
      </c>
      <c r="Y443" s="140">
        <f t="shared" si="97"/>
        <v>0</v>
      </c>
      <c r="Z443" s="519">
        <v>1631000</v>
      </c>
      <c r="AA443" s="111">
        <f t="shared" si="91"/>
        <v>2174666.6666666665</v>
      </c>
      <c r="AB443" s="111">
        <f t="shared" si="92"/>
        <v>333.33333333348855</v>
      </c>
    </row>
    <row r="444" spans="1:28" ht="36.75" customHeight="1">
      <c r="A444" s="116" t="s">
        <v>2387</v>
      </c>
      <c r="B444" s="126" t="s">
        <v>2240</v>
      </c>
      <c r="C444" s="98" t="s">
        <v>2630</v>
      </c>
      <c r="D444" s="98" t="s">
        <v>1402</v>
      </c>
      <c r="E444" s="540" t="s">
        <v>5472</v>
      </c>
      <c r="F444" s="540" t="s">
        <v>5473</v>
      </c>
      <c r="G444" s="555" t="s">
        <v>578</v>
      </c>
      <c r="H444" s="555" t="s">
        <v>3745</v>
      </c>
      <c r="I444" s="556" t="s">
        <v>4029</v>
      </c>
      <c r="J444" s="557" t="s">
        <v>1008</v>
      </c>
      <c r="K444" s="558" t="s">
        <v>2884</v>
      </c>
      <c r="L444" s="95"/>
      <c r="M444" s="104"/>
      <c r="N444" s="137">
        <v>319648.42</v>
      </c>
      <c r="O444" s="138">
        <v>300000</v>
      </c>
      <c r="P444" s="138">
        <v>320000</v>
      </c>
      <c r="Q444" s="138">
        <v>320000</v>
      </c>
      <c r="R444" s="138">
        <v>320000</v>
      </c>
      <c r="S444" s="139">
        <v>320000</v>
      </c>
      <c r="T444" s="322">
        <f t="shared" si="93"/>
        <v>351.5800000000163</v>
      </c>
      <c r="U444" s="140">
        <f t="shared" si="94"/>
        <v>1.0998959419227423E-3</v>
      </c>
      <c r="V444" s="322">
        <f t="shared" si="90"/>
        <v>20000</v>
      </c>
      <c r="W444" s="140">
        <f t="shared" si="95"/>
        <v>6.6666666666666666E-2</v>
      </c>
      <c r="X444" s="322">
        <f t="shared" si="96"/>
        <v>0</v>
      </c>
      <c r="Y444" s="140">
        <f t="shared" si="97"/>
        <v>0</v>
      </c>
      <c r="Z444" s="519">
        <v>240000</v>
      </c>
      <c r="AA444" s="111">
        <f t="shared" si="91"/>
        <v>320000</v>
      </c>
      <c r="AB444" s="111">
        <f t="shared" si="92"/>
        <v>0</v>
      </c>
    </row>
    <row r="445" spans="1:28" ht="36.75" customHeight="1">
      <c r="A445" s="116" t="s">
        <v>1550</v>
      </c>
      <c r="B445" s="126" t="s">
        <v>2240</v>
      </c>
      <c r="C445" s="98" t="s">
        <v>2630</v>
      </c>
      <c r="D445" s="98" t="s">
        <v>2631</v>
      </c>
      <c r="E445" s="540" t="s">
        <v>4095</v>
      </c>
      <c r="F445" s="540" t="s">
        <v>5474</v>
      </c>
      <c r="G445" s="555" t="s">
        <v>584</v>
      </c>
      <c r="H445" s="555" t="s">
        <v>3747</v>
      </c>
      <c r="I445" s="556" t="s">
        <v>4036</v>
      </c>
      <c r="J445" s="557" t="s">
        <v>1031</v>
      </c>
      <c r="K445" s="558" t="s">
        <v>2885</v>
      </c>
      <c r="L445" s="95"/>
      <c r="M445" s="104"/>
      <c r="N445" s="137">
        <v>255961.34</v>
      </c>
      <c r="O445" s="138">
        <v>230000</v>
      </c>
      <c r="P445" s="138">
        <v>254000</v>
      </c>
      <c r="Q445" s="138">
        <v>254000</v>
      </c>
      <c r="R445" s="138">
        <v>254000</v>
      </c>
      <c r="S445" s="139">
        <v>254000</v>
      </c>
      <c r="T445" s="322">
        <f t="shared" si="93"/>
        <v>-1961.3399999999965</v>
      </c>
      <c r="U445" s="140">
        <f t="shared" si="94"/>
        <v>-7.6626415536033545E-3</v>
      </c>
      <c r="V445" s="322">
        <f t="shared" si="90"/>
        <v>24000</v>
      </c>
      <c r="W445" s="140">
        <f t="shared" si="95"/>
        <v>0.10434782608695652</v>
      </c>
      <c r="X445" s="322">
        <f t="shared" si="96"/>
        <v>0</v>
      </c>
      <c r="Y445" s="140">
        <f t="shared" si="97"/>
        <v>0</v>
      </c>
      <c r="Z445" s="519">
        <v>191000</v>
      </c>
      <c r="AA445" s="111">
        <f t="shared" si="91"/>
        <v>254666.66666666666</v>
      </c>
      <c r="AB445" s="111">
        <f t="shared" si="92"/>
        <v>-666.66666666665697</v>
      </c>
    </row>
    <row r="446" spans="1:28" ht="36.75" customHeight="1">
      <c r="A446" s="116" t="s">
        <v>3148</v>
      </c>
      <c r="B446" s="126" t="s">
        <v>2240</v>
      </c>
      <c r="C446" s="98" t="s">
        <v>2630</v>
      </c>
      <c r="D446" s="98" t="s">
        <v>2834</v>
      </c>
      <c r="E446" s="540" t="s">
        <v>4096</v>
      </c>
      <c r="F446" s="540" t="s">
        <v>5475</v>
      </c>
      <c r="G446" s="555" t="s">
        <v>586</v>
      </c>
      <c r="H446" s="555" t="s">
        <v>3749</v>
      </c>
      <c r="I446" s="556" t="s">
        <v>4039</v>
      </c>
      <c r="J446" s="557" t="s">
        <v>1031</v>
      </c>
      <c r="K446" s="558" t="s">
        <v>2885</v>
      </c>
      <c r="L446" s="95"/>
      <c r="M446" s="104"/>
      <c r="N446" s="137">
        <v>23972.67</v>
      </c>
      <c r="O446" s="138">
        <v>3000</v>
      </c>
      <c r="P446" s="138">
        <v>23000</v>
      </c>
      <c r="Q446" s="138">
        <v>23000</v>
      </c>
      <c r="R446" s="138">
        <v>23000</v>
      </c>
      <c r="S446" s="139">
        <v>23000</v>
      </c>
      <c r="T446" s="322">
        <f t="shared" si="93"/>
        <v>-972.66999999999825</v>
      </c>
      <c r="U446" s="140">
        <f t="shared" si="94"/>
        <v>-4.057412044632485E-2</v>
      </c>
      <c r="V446" s="322">
        <f t="shared" si="90"/>
        <v>20000</v>
      </c>
      <c r="W446" s="140">
        <f t="shared" si="95"/>
        <v>6.666666666666667</v>
      </c>
      <c r="X446" s="322">
        <f t="shared" si="96"/>
        <v>0</v>
      </c>
      <c r="Y446" s="140">
        <f t="shared" si="97"/>
        <v>0</v>
      </c>
      <c r="Z446" s="519">
        <v>17000</v>
      </c>
      <c r="AA446" s="111">
        <f t="shared" si="91"/>
        <v>22666.666666666668</v>
      </c>
      <c r="AB446" s="111">
        <f t="shared" si="92"/>
        <v>333.33333333333212</v>
      </c>
    </row>
    <row r="447" spans="1:28" ht="36.75" customHeight="1">
      <c r="A447" s="116" t="s">
        <v>1551</v>
      </c>
      <c r="B447" s="126" t="s">
        <v>2240</v>
      </c>
      <c r="C447" s="98" t="s">
        <v>2630</v>
      </c>
      <c r="D447" s="98" t="s">
        <v>1552</v>
      </c>
      <c r="E447" s="540" t="s">
        <v>4358</v>
      </c>
      <c r="F447" s="540" t="s">
        <v>5476</v>
      </c>
      <c r="G447" s="555" t="s">
        <v>592</v>
      </c>
      <c r="H447" s="555" t="s">
        <v>3751</v>
      </c>
      <c r="I447" s="556" t="s">
        <v>4045</v>
      </c>
      <c r="J447" s="557" t="s">
        <v>1063</v>
      </c>
      <c r="K447" s="558" t="s">
        <v>2886</v>
      </c>
      <c r="L447" s="95"/>
      <c r="M447" s="104"/>
      <c r="N447" s="137">
        <v>1942448.8</v>
      </c>
      <c r="O447" s="138">
        <v>1730000</v>
      </c>
      <c r="P447" s="138">
        <v>1942000</v>
      </c>
      <c r="Q447" s="138">
        <v>1942000</v>
      </c>
      <c r="R447" s="138">
        <v>1942000</v>
      </c>
      <c r="S447" s="139">
        <v>1942000</v>
      </c>
      <c r="T447" s="322">
        <f t="shared" si="93"/>
        <v>-448.80000000004657</v>
      </c>
      <c r="U447" s="140">
        <f t="shared" si="94"/>
        <v>-2.3104856097110336E-4</v>
      </c>
      <c r="V447" s="322">
        <f t="shared" si="90"/>
        <v>212000</v>
      </c>
      <c r="W447" s="140">
        <f t="shared" si="95"/>
        <v>0.12254335260115606</v>
      </c>
      <c r="X447" s="322">
        <f t="shared" si="96"/>
        <v>0</v>
      </c>
      <c r="Y447" s="140">
        <f t="shared" si="97"/>
        <v>0</v>
      </c>
      <c r="Z447" s="519">
        <v>1457000</v>
      </c>
      <c r="AA447" s="111">
        <f t="shared" si="91"/>
        <v>1942666.6666666667</v>
      </c>
      <c r="AB447" s="111">
        <f t="shared" si="92"/>
        <v>-666.66666666674428</v>
      </c>
    </row>
    <row r="448" spans="1:28" ht="36.75" customHeight="1">
      <c r="A448" s="116" t="s">
        <v>3149</v>
      </c>
      <c r="B448" s="126" t="s">
        <v>2240</v>
      </c>
      <c r="C448" s="98" t="s">
        <v>2630</v>
      </c>
      <c r="D448" s="98" t="s">
        <v>3196</v>
      </c>
      <c r="E448" s="540" t="s">
        <v>4097</v>
      </c>
      <c r="F448" s="540" t="s">
        <v>5477</v>
      </c>
      <c r="G448" s="555" t="s">
        <v>1443</v>
      </c>
      <c r="H448" s="555" t="s">
        <v>3753</v>
      </c>
      <c r="I448" s="556" t="s">
        <v>4047</v>
      </c>
      <c r="J448" s="557" t="s">
        <v>1063</v>
      </c>
      <c r="K448" s="558" t="s">
        <v>2886</v>
      </c>
      <c r="L448" s="95"/>
      <c r="M448" s="104"/>
      <c r="N448" s="137">
        <v>250013.52</v>
      </c>
      <c r="O448" s="138">
        <v>210000</v>
      </c>
      <c r="P448" s="138">
        <v>250000</v>
      </c>
      <c r="Q448" s="138">
        <v>250000</v>
      </c>
      <c r="R448" s="138">
        <v>250000</v>
      </c>
      <c r="S448" s="139">
        <v>250000</v>
      </c>
      <c r="T448" s="322">
        <f t="shared" si="93"/>
        <v>-13.519999999989523</v>
      </c>
      <c r="U448" s="140">
        <f t="shared" si="94"/>
        <v>-5.4077075511714419E-5</v>
      </c>
      <c r="V448" s="322">
        <f t="shared" si="90"/>
        <v>40000</v>
      </c>
      <c r="W448" s="140">
        <f t="shared" si="95"/>
        <v>0.19047619047619047</v>
      </c>
      <c r="X448" s="322">
        <f t="shared" si="96"/>
        <v>0</v>
      </c>
      <c r="Y448" s="140">
        <f t="shared" si="97"/>
        <v>0</v>
      </c>
      <c r="Z448" s="519">
        <v>188000</v>
      </c>
      <c r="AA448" s="111">
        <f t="shared" si="91"/>
        <v>250666.66666666666</v>
      </c>
      <c r="AB448" s="111">
        <f t="shared" si="92"/>
        <v>-666.66666666665697</v>
      </c>
    </row>
    <row r="449" spans="1:28" ht="36.75" customHeight="1">
      <c r="A449" s="116" t="s">
        <v>1553</v>
      </c>
      <c r="B449" s="126" t="s">
        <v>2240</v>
      </c>
      <c r="C449" s="98" t="s">
        <v>2630</v>
      </c>
      <c r="D449" s="98" t="s">
        <v>1404</v>
      </c>
      <c r="E449" s="559" t="s">
        <v>4098</v>
      </c>
      <c r="F449" s="540" t="s">
        <v>4099</v>
      </c>
      <c r="G449" s="555" t="s">
        <v>575</v>
      </c>
      <c r="H449" s="555" t="s">
        <v>3743</v>
      </c>
      <c r="I449" s="556" t="s">
        <v>4026</v>
      </c>
      <c r="J449" s="557" t="s">
        <v>1008</v>
      </c>
      <c r="K449" s="558" t="s">
        <v>2884</v>
      </c>
      <c r="L449" s="95"/>
      <c r="M449" s="104"/>
      <c r="N449" s="137">
        <v>1610741.46</v>
      </c>
      <c r="O449" s="138">
        <v>1653000</v>
      </c>
      <c r="P449" s="138">
        <v>1653000</v>
      </c>
      <c r="Q449" s="138">
        <v>1690000</v>
      </c>
      <c r="R449" s="138">
        <v>1690000</v>
      </c>
      <c r="S449" s="139">
        <v>1690000</v>
      </c>
      <c r="T449" s="322">
        <f t="shared" si="93"/>
        <v>79258.540000000037</v>
      </c>
      <c r="U449" s="140">
        <f t="shared" si="94"/>
        <v>4.9206245675206026E-2</v>
      </c>
      <c r="V449" s="322">
        <f t="shared" si="90"/>
        <v>37000</v>
      </c>
      <c r="W449" s="140">
        <f t="shared" si="95"/>
        <v>2.2383545069570479E-2</v>
      </c>
      <c r="X449" s="322">
        <f t="shared" si="96"/>
        <v>37000</v>
      </c>
      <c r="Y449" s="140">
        <f t="shared" si="97"/>
        <v>2.2383545069570479E-2</v>
      </c>
      <c r="Z449" s="519">
        <v>1240000</v>
      </c>
      <c r="AA449" s="111">
        <f t="shared" si="91"/>
        <v>1653333.3333333333</v>
      </c>
      <c r="AB449" s="111">
        <f t="shared" si="92"/>
        <v>-333.33333333325572</v>
      </c>
    </row>
    <row r="450" spans="1:28" ht="36.75" customHeight="1">
      <c r="A450" s="116" t="s">
        <v>3150</v>
      </c>
      <c r="B450" s="126" t="s">
        <v>2240</v>
      </c>
      <c r="C450" s="98" t="s">
        <v>2630</v>
      </c>
      <c r="D450" s="98" t="s">
        <v>1372</v>
      </c>
      <c r="E450" s="559" t="s">
        <v>4100</v>
      </c>
      <c r="F450" s="540" t="s">
        <v>4101</v>
      </c>
      <c r="G450" s="555" t="s">
        <v>578</v>
      </c>
      <c r="H450" s="555" t="s">
        <v>3745</v>
      </c>
      <c r="I450" s="556" t="s">
        <v>4029</v>
      </c>
      <c r="J450" s="557" t="s">
        <v>1008</v>
      </c>
      <c r="K450" s="558" t="s">
        <v>2884</v>
      </c>
      <c r="L450" s="95"/>
      <c r="M450" s="104"/>
      <c r="N450" s="137">
        <v>206775.62</v>
      </c>
      <c r="O450" s="138">
        <v>150000</v>
      </c>
      <c r="P450" s="138">
        <v>176000</v>
      </c>
      <c r="Q450" s="138">
        <v>176000</v>
      </c>
      <c r="R450" s="138">
        <v>176000</v>
      </c>
      <c r="S450" s="139">
        <v>176000</v>
      </c>
      <c r="T450" s="322">
        <f t="shared" si="93"/>
        <v>-30775.619999999995</v>
      </c>
      <c r="U450" s="140">
        <f t="shared" si="94"/>
        <v>-0.14883582503585285</v>
      </c>
      <c r="V450" s="322">
        <f t="shared" si="90"/>
        <v>26000</v>
      </c>
      <c r="W450" s="140">
        <f t="shared" si="95"/>
        <v>0.17333333333333334</v>
      </c>
      <c r="X450" s="322">
        <f t="shared" si="96"/>
        <v>0</v>
      </c>
      <c r="Y450" s="140">
        <f t="shared" si="97"/>
        <v>0</v>
      </c>
      <c r="Z450" s="519">
        <v>132000</v>
      </c>
      <c r="AA450" s="111">
        <f t="shared" si="91"/>
        <v>176000</v>
      </c>
      <c r="AB450" s="111">
        <f t="shared" si="92"/>
        <v>0</v>
      </c>
    </row>
    <row r="451" spans="1:28" ht="36.75" customHeight="1">
      <c r="A451" s="116" t="s">
        <v>1554</v>
      </c>
      <c r="B451" s="126" t="s">
        <v>2240</v>
      </c>
      <c r="C451" s="98" t="s">
        <v>2630</v>
      </c>
      <c r="D451" s="98" t="s">
        <v>1555</v>
      </c>
      <c r="E451" s="559" t="s">
        <v>4102</v>
      </c>
      <c r="F451" s="540" t="s">
        <v>4103</v>
      </c>
      <c r="G451" s="555" t="s">
        <v>584</v>
      </c>
      <c r="H451" s="555" t="s">
        <v>3747</v>
      </c>
      <c r="I451" s="556" t="s">
        <v>4036</v>
      </c>
      <c r="J451" s="557" t="s">
        <v>1031</v>
      </c>
      <c r="K451" s="558" t="s">
        <v>2885</v>
      </c>
      <c r="L451" s="95"/>
      <c r="M451" s="104"/>
      <c r="N451" s="137">
        <v>240367.34</v>
      </c>
      <c r="O451" s="138">
        <v>222000</v>
      </c>
      <c r="P451" s="138">
        <v>269000</v>
      </c>
      <c r="Q451" s="138">
        <v>269000</v>
      </c>
      <c r="R451" s="138">
        <v>269000</v>
      </c>
      <c r="S451" s="139">
        <v>269000</v>
      </c>
      <c r="T451" s="322">
        <f t="shared" si="93"/>
        <v>28632.660000000003</v>
      </c>
      <c r="U451" s="140">
        <f t="shared" si="94"/>
        <v>0.11912042626090551</v>
      </c>
      <c r="V451" s="322">
        <f t="shared" si="90"/>
        <v>47000</v>
      </c>
      <c r="W451" s="140">
        <f t="shared" si="95"/>
        <v>0.21171171171171171</v>
      </c>
      <c r="X451" s="322">
        <f t="shared" si="96"/>
        <v>0</v>
      </c>
      <c r="Y451" s="140">
        <f t="shared" si="97"/>
        <v>0</v>
      </c>
      <c r="Z451" s="519">
        <v>202000</v>
      </c>
      <c r="AA451" s="111">
        <f t="shared" si="91"/>
        <v>269333.33333333331</v>
      </c>
      <c r="AB451" s="111">
        <f t="shared" si="92"/>
        <v>-333.33333333331393</v>
      </c>
    </row>
    <row r="452" spans="1:28" ht="36.75" customHeight="1">
      <c r="A452" s="116" t="s">
        <v>3151</v>
      </c>
      <c r="B452" s="126" t="s">
        <v>2240</v>
      </c>
      <c r="C452" s="98" t="s">
        <v>2630</v>
      </c>
      <c r="D452" s="98" t="s">
        <v>3152</v>
      </c>
      <c r="E452" s="559" t="s">
        <v>4104</v>
      </c>
      <c r="F452" s="540" t="s">
        <v>4105</v>
      </c>
      <c r="G452" s="555" t="s">
        <v>586</v>
      </c>
      <c r="H452" s="555" t="s">
        <v>3749</v>
      </c>
      <c r="I452" s="556" t="s">
        <v>4039</v>
      </c>
      <c r="J452" s="557" t="s">
        <v>1031</v>
      </c>
      <c r="K452" s="558" t="s">
        <v>2885</v>
      </c>
      <c r="L452" s="95"/>
      <c r="M452" s="104"/>
      <c r="N452" s="137">
        <v>22660.35</v>
      </c>
      <c r="O452" s="138">
        <v>16000</v>
      </c>
      <c r="P452" s="138">
        <v>18000</v>
      </c>
      <c r="Q452" s="138">
        <v>18000</v>
      </c>
      <c r="R452" s="138">
        <v>18000</v>
      </c>
      <c r="S452" s="139">
        <v>18000</v>
      </c>
      <c r="T452" s="322">
        <f t="shared" si="93"/>
        <v>-4660.3499999999985</v>
      </c>
      <c r="U452" s="140">
        <f t="shared" si="94"/>
        <v>-0.20566098934923771</v>
      </c>
      <c r="V452" s="322">
        <f t="shared" si="90"/>
        <v>2000</v>
      </c>
      <c r="W452" s="140">
        <f t="shared" si="95"/>
        <v>0.125</v>
      </c>
      <c r="X452" s="322">
        <f t="shared" si="96"/>
        <v>0</v>
      </c>
      <c r="Y452" s="140">
        <f t="shared" si="97"/>
        <v>0</v>
      </c>
      <c r="Z452" s="519">
        <v>14000</v>
      </c>
      <c r="AA452" s="111">
        <f t="shared" si="91"/>
        <v>18666.666666666668</v>
      </c>
      <c r="AB452" s="111">
        <f t="shared" si="92"/>
        <v>-666.66666666666788</v>
      </c>
    </row>
    <row r="453" spans="1:28" ht="28.5" customHeight="1">
      <c r="A453" s="116" t="s">
        <v>1556</v>
      </c>
      <c r="B453" s="126" t="s">
        <v>2240</v>
      </c>
      <c r="C453" s="98" t="s">
        <v>2630</v>
      </c>
      <c r="D453" s="98" t="s">
        <v>1405</v>
      </c>
      <c r="E453" s="559" t="s">
        <v>4106</v>
      </c>
      <c r="F453" s="540" t="s">
        <v>5478</v>
      </c>
      <c r="G453" s="555" t="s">
        <v>592</v>
      </c>
      <c r="H453" s="555" t="s">
        <v>3751</v>
      </c>
      <c r="I453" s="556" t="s">
        <v>4045</v>
      </c>
      <c r="J453" s="557" t="s">
        <v>1063</v>
      </c>
      <c r="K453" s="558" t="s">
        <v>2886</v>
      </c>
      <c r="L453" s="95"/>
      <c r="M453" s="104"/>
      <c r="N453" s="137">
        <v>1511833.88</v>
      </c>
      <c r="O453" s="138">
        <v>1440000</v>
      </c>
      <c r="P453" s="138">
        <v>1216000</v>
      </c>
      <c r="Q453" s="138">
        <v>1216000</v>
      </c>
      <c r="R453" s="138">
        <v>1216000</v>
      </c>
      <c r="S453" s="139">
        <v>1216000</v>
      </c>
      <c r="T453" s="322">
        <f t="shared" si="93"/>
        <v>-295833.87999999989</v>
      </c>
      <c r="U453" s="140">
        <f t="shared" si="94"/>
        <v>-0.19567882682983656</v>
      </c>
      <c r="V453" s="322">
        <f t="shared" si="90"/>
        <v>-224000</v>
      </c>
      <c r="W453" s="140">
        <f t="shared" si="95"/>
        <v>-0.15555555555555556</v>
      </c>
      <c r="X453" s="322">
        <f t="shared" si="96"/>
        <v>0</v>
      </c>
      <c r="Y453" s="140">
        <f t="shared" si="97"/>
        <v>0</v>
      </c>
      <c r="Z453" s="519">
        <v>912000</v>
      </c>
      <c r="AA453" s="111">
        <f t="shared" si="91"/>
        <v>1216000</v>
      </c>
      <c r="AB453" s="111">
        <f t="shared" si="92"/>
        <v>0</v>
      </c>
    </row>
    <row r="454" spans="1:28" ht="28.5" customHeight="1">
      <c r="A454" s="116" t="s">
        <v>3153</v>
      </c>
      <c r="B454" s="126" t="s">
        <v>2240</v>
      </c>
      <c r="C454" s="98" t="s">
        <v>2630</v>
      </c>
      <c r="D454" s="98" t="s">
        <v>3085</v>
      </c>
      <c r="E454" s="559" t="s">
        <v>4107</v>
      </c>
      <c r="F454" s="540" t="s">
        <v>4108</v>
      </c>
      <c r="G454" s="555" t="s">
        <v>1443</v>
      </c>
      <c r="H454" s="555" t="s">
        <v>3753</v>
      </c>
      <c r="I454" s="556" t="s">
        <v>4047</v>
      </c>
      <c r="J454" s="557" t="s">
        <v>1063</v>
      </c>
      <c r="K454" s="558" t="s">
        <v>2886</v>
      </c>
      <c r="L454" s="95"/>
      <c r="M454" s="104"/>
      <c r="N454" s="137">
        <v>230034.64</v>
      </c>
      <c r="O454" s="138">
        <v>199000</v>
      </c>
      <c r="P454" s="138">
        <v>236000</v>
      </c>
      <c r="Q454" s="138">
        <v>236000</v>
      </c>
      <c r="R454" s="138">
        <v>236000</v>
      </c>
      <c r="S454" s="139">
        <v>236000</v>
      </c>
      <c r="T454" s="322">
        <f t="shared" si="93"/>
        <v>5965.359999999986</v>
      </c>
      <c r="U454" s="140">
        <f t="shared" si="94"/>
        <v>2.5932442174795872E-2</v>
      </c>
      <c r="V454" s="322">
        <f t="shared" si="90"/>
        <v>37000</v>
      </c>
      <c r="W454" s="140">
        <f t="shared" si="95"/>
        <v>0.18592964824120603</v>
      </c>
      <c r="X454" s="322">
        <f t="shared" si="96"/>
        <v>0</v>
      </c>
      <c r="Y454" s="140">
        <f t="shared" si="97"/>
        <v>0</v>
      </c>
      <c r="Z454" s="519">
        <v>177000</v>
      </c>
      <c r="AA454" s="111">
        <f t="shared" si="91"/>
        <v>236000</v>
      </c>
      <c r="AB454" s="111">
        <f t="shared" si="92"/>
        <v>0</v>
      </c>
    </row>
    <row r="455" spans="1:28" ht="36.75" customHeight="1">
      <c r="A455" s="116" t="s">
        <v>1557</v>
      </c>
      <c r="B455" s="126" t="s">
        <v>2240</v>
      </c>
      <c r="C455" s="98" t="s">
        <v>2630</v>
      </c>
      <c r="D455" s="98" t="s">
        <v>1558</v>
      </c>
      <c r="E455" s="559" t="s">
        <v>4109</v>
      </c>
      <c r="F455" s="540" t="s">
        <v>4110</v>
      </c>
      <c r="G455" s="511" t="s">
        <v>575</v>
      </c>
      <c r="H455" s="511" t="s">
        <v>3743</v>
      </c>
      <c r="I455" s="544" t="s">
        <v>4026</v>
      </c>
      <c r="J455" s="542" t="s">
        <v>1008</v>
      </c>
      <c r="K455" s="543" t="s">
        <v>2884</v>
      </c>
      <c r="L455" s="95"/>
      <c r="M455" s="104"/>
      <c r="N455" s="137">
        <v>52441.760000000002</v>
      </c>
      <c r="O455" s="138">
        <v>193000</v>
      </c>
      <c r="P455" s="138">
        <v>61000</v>
      </c>
      <c r="Q455" s="138">
        <v>61000</v>
      </c>
      <c r="R455" s="138">
        <v>61000</v>
      </c>
      <c r="S455" s="139">
        <v>61000</v>
      </c>
      <c r="T455" s="322">
        <f t="shared" si="93"/>
        <v>8558.239999999998</v>
      </c>
      <c r="U455" s="140">
        <f t="shared" si="94"/>
        <v>0.16319513303901315</v>
      </c>
      <c r="V455" s="322">
        <f t="shared" si="90"/>
        <v>-132000</v>
      </c>
      <c r="W455" s="140">
        <f t="shared" si="95"/>
        <v>-0.68393782383419688</v>
      </c>
      <c r="X455" s="322">
        <f t="shared" si="96"/>
        <v>0</v>
      </c>
      <c r="Y455" s="140">
        <f t="shared" si="97"/>
        <v>0</v>
      </c>
      <c r="Z455" s="519">
        <v>46000</v>
      </c>
      <c r="AA455" s="111">
        <f t="shared" si="91"/>
        <v>61333.333333333336</v>
      </c>
      <c r="AB455" s="111">
        <f t="shared" si="92"/>
        <v>-333.33333333333576</v>
      </c>
    </row>
    <row r="456" spans="1:28" ht="36.75" customHeight="1">
      <c r="A456" s="116" t="s">
        <v>2567</v>
      </c>
      <c r="B456" s="126" t="s">
        <v>2240</v>
      </c>
      <c r="C456" s="98" t="s">
        <v>2630</v>
      </c>
      <c r="D456" s="98" t="s">
        <v>2568</v>
      </c>
      <c r="E456" s="559" t="s">
        <v>4111</v>
      </c>
      <c r="F456" s="540" t="s">
        <v>4112</v>
      </c>
      <c r="G456" s="511" t="s">
        <v>578</v>
      </c>
      <c r="H456" s="511" t="s">
        <v>3745</v>
      </c>
      <c r="I456" s="544" t="s">
        <v>4029</v>
      </c>
      <c r="J456" s="542" t="s">
        <v>1008</v>
      </c>
      <c r="K456" s="543" t="s">
        <v>2884</v>
      </c>
      <c r="L456" s="95"/>
      <c r="M456" s="104"/>
      <c r="N456" s="137">
        <v>16313.69</v>
      </c>
      <c r="O456" s="138">
        <v>23000</v>
      </c>
      <c r="P456" s="138">
        <v>10000</v>
      </c>
      <c r="Q456" s="138">
        <v>10000</v>
      </c>
      <c r="R456" s="138">
        <v>10000</v>
      </c>
      <c r="S456" s="139">
        <v>10000</v>
      </c>
      <c r="T456" s="322">
        <f t="shared" si="93"/>
        <v>-6313.6900000000005</v>
      </c>
      <c r="U456" s="140">
        <f t="shared" si="94"/>
        <v>-0.38701789723845437</v>
      </c>
      <c r="V456" s="322">
        <f t="shared" si="90"/>
        <v>-13000</v>
      </c>
      <c r="W456" s="140">
        <f t="shared" si="95"/>
        <v>-0.56521739130434778</v>
      </c>
      <c r="X456" s="322">
        <f t="shared" si="96"/>
        <v>0</v>
      </c>
      <c r="Y456" s="140">
        <f t="shared" si="97"/>
        <v>0</v>
      </c>
      <c r="Z456" s="519">
        <v>8000</v>
      </c>
      <c r="AA456" s="111">
        <f t="shared" si="91"/>
        <v>10666.666666666666</v>
      </c>
      <c r="AB456" s="111">
        <f t="shared" si="92"/>
        <v>-666.66666666666606</v>
      </c>
    </row>
    <row r="457" spans="1:28" ht="36.75" customHeight="1">
      <c r="A457" s="116" t="s">
        <v>1559</v>
      </c>
      <c r="B457" s="126" t="s">
        <v>2240</v>
      </c>
      <c r="C457" s="98" t="s">
        <v>2630</v>
      </c>
      <c r="D457" s="98" t="s">
        <v>2291</v>
      </c>
      <c r="E457" s="559" t="s">
        <v>4113</v>
      </c>
      <c r="F457" s="540" t="s">
        <v>5479</v>
      </c>
      <c r="G457" s="511" t="s">
        <v>584</v>
      </c>
      <c r="H457" s="511" t="s">
        <v>3747</v>
      </c>
      <c r="I457" s="544" t="s">
        <v>4036</v>
      </c>
      <c r="J457" s="542" t="s">
        <v>1031</v>
      </c>
      <c r="K457" s="543" t="s">
        <v>2885</v>
      </c>
      <c r="L457" s="95"/>
      <c r="M457" s="104"/>
      <c r="N457" s="137">
        <v>19136</v>
      </c>
      <c r="O457" s="138">
        <v>5000</v>
      </c>
      <c r="P457" s="138">
        <v>18000</v>
      </c>
      <c r="Q457" s="138">
        <v>18000</v>
      </c>
      <c r="R457" s="138">
        <v>18000</v>
      </c>
      <c r="S457" s="139">
        <v>18000</v>
      </c>
      <c r="T457" s="322">
        <f t="shared" si="93"/>
        <v>-1136</v>
      </c>
      <c r="U457" s="140">
        <f t="shared" si="94"/>
        <v>-5.936454849498328E-2</v>
      </c>
      <c r="V457" s="322">
        <f t="shared" ref="V457:V520" si="98">IF(O457="","",Q457-O457)</f>
        <v>13000</v>
      </c>
      <c r="W457" s="140">
        <f t="shared" si="95"/>
        <v>2.6</v>
      </c>
      <c r="X457" s="322">
        <f t="shared" si="96"/>
        <v>0</v>
      </c>
      <c r="Y457" s="140">
        <f t="shared" si="97"/>
        <v>0</v>
      </c>
      <c r="Z457" s="519">
        <v>14000</v>
      </c>
      <c r="AA457" s="111">
        <f t="shared" ref="AA457:AA520" si="99">Z457/3*4</f>
        <v>18666.666666666668</v>
      </c>
      <c r="AB457" s="111">
        <f t="shared" ref="AB457:AB520" si="100">P457-AA457</f>
        <v>-666.66666666666788</v>
      </c>
    </row>
    <row r="458" spans="1:28" ht="36.75" customHeight="1">
      <c r="A458" s="116" t="s">
        <v>2569</v>
      </c>
      <c r="B458" s="126" t="s">
        <v>2240</v>
      </c>
      <c r="C458" s="98" t="s">
        <v>2630</v>
      </c>
      <c r="D458" s="98" t="s">
        <v>2632</v>
      </c>
      <c r="E458" s="559" t="s">
        <v>4114</v>
      </c>
      <c r="F458" s="540" t="s">
        <v>4115</v>
      </c>
      <c r="G458" s="511" t="s">
        <v>586</v>
      </c>
      <c r="H458" s="511" t="s">
        <v>3749</v>
      </c>
      <c r="I458" s="544" t="s">
        <v>4039</v>
      </c>
      <c r="J458" s="542" t="s">
        <v>1031</v>
      </c>
      <c r="K458" s="543" t="s">
        <v>2885</v>
      </c>
      <c r="L458" s="95"/>
      <c r="M458" s="104"/>
      <c r="N458" s="137">
        <v>0</v>
      </c>
      <c r="O458" s="138">
        <v>0</v>
      </c>
      <c r="P458" s="138">
        <v>0</v>
      </c>
      <c r="Q458" s="138">
        <v>0</v>
      </c>
      <c r="R458" s="138">
        <v>0</v>
      </c>
      <c r="S458" s="139">
        <v>0</v>
      </c>
      <c r="T458" s="322">
        <f t="shared" si="93"/>
        <v>0</v>
      </c>
      <c r="U458" s="140" t="str">
        <f t="shared" si="94"/>
        <v/>
      </c>
      <c r="V458" s="322">
        <f t="shared" si="98"/>
        <v>0</v>
      </c>
      <c r="W458" s="140" t="str">
        <f t="shared" si="95"/>
        <v/>
      </c>
      <c r="X458" s="322">
        <f t="shared" si="96"/>
        <v>0</v>
      </c>
      <c r="Y458" s="140" t="str">
        <f t="shared" si="97"/>
        <v/>
      </c>
      <c r="Z458" s="519">
        <v>0</v>
      </c>
      <c r="AA458" s="111">
        <f t="shared" si="99"/>
        <v>0</v>
      </c>
      <c r="AB458" s="111">
        <f t="shared" si="100"/>
        <v>0</v>
      </c>
    </row>
    <row r="459" spans="1:28" ht="36.75" customHeight="1">
      <c r="A459" s="116" t="s">
        <v>79</v>
      </c>
      <c r="B459" s="126" t="s">
        <v>2240</v>
      </c>
      <c r="C459" s="98" t="s">
        <v>2630</v>
      </c>
      <c r="D459" s="98" t="s">
        <v>80</v>
      </c>
      <c r="E459" s="559" t="s">
        <v>4116</v>
      </c>
      <c r="F459" s="540" t="s">
        <v>4117</v>
      </c>
      <c r="G459" s="511" t="s">
        <v>592</v>
      </c>
      <c r="H459" s="511" t="s">
        <v>3751</v>
      </c>
      <c r="I459" s="544" t="s">
        <v>4045</v>
      </c>
      <c r="J459" s="542" t="s">
        <v>1063</v>
      </c>
      <c r="K459" s="543" t="s">
        <v>2886</v>
      </c>
      <c r="L459" s="95"/>
      <c r="M459" s="104"/>
      <c r="N459" s="137">
        <v>40719.29</v>
      </c>
      <c r="O459" s="138">
        <v>20000</v>
      </c>
      <c r="P459" s="138">
        <v>40000</v>
      </c>
      <c r="Q459" s="138">
        <v>0</v>
      </c>
      <c r="R459" s="138">
        <v>0</v>
      </c>
      <c r="S459" s="139">
        <v>0</v>
      </c>
      <c r="T459" s="322">
        <f t="shared" si="93"/>
        <v>-40719.29</v>
      </c>
      <c r="U459" s="140">
        <f t="shared" si="94"/>
        <v>-1</v>
      </c>
      <c r="V459" s="322">
        <f t="shared" si="98"/>
        <v>-20000</v>
      </c>
      <c r="W459" s="140">
        <f t="shared" si="95"/>
        <v>-1</v>
      </c>
      <c r="X459" s="322">
        <f t="shared" si="96"/>
        <v>-40000</v>
      </c>
      <c r="Y459" s="140">
        <f t="shared" si="97"/>
        <v>-1</v>
      </c>
      <c r="Z459" s="519">
        <v>30000</v>
      </c>
      <c r="AA459" s="111">
        <f t="shared" si="99"/>
        <v>40000</v>
      </c>
      <c r="AB459" s="111">
        <f t="shared" si="100"/>
        <v>0</v>
      </c>
    </row>
    <row r="460" spans="1:28" ht="36.75" customHeight="1">
      <c r="A460" s="116" t="s">
        <v>3412</v>
      </c>
      <c r="B460" s="126" t="s">
        <v>2240</v>
      </c>
      <c r="C460" s="98" t="s">
        <v>2630</v>
      </c>
      <c r="D460" s="98" t="s">
        <v>3413</v>
      </c>
      <c r="E460" s="559" t="s">
        <v>4118</v>
      </c>
      <c r="F460" s="540" t="s">
        <v>4119</v>
      </c>
      <c r="G460" s="511" t="s">
        <v>1443</v>
      </c>
      <c r="H460" s="511" t="s">
        <v>3753</v>
      </c>
      <c r="I460" s="544" t="s">
        <v>4047</v>
      </c>
      <c r="J460" s="542" t="s">
        <v>1063</v>
      </c>
      <c r="K460" s="543" t="s">
        <v>2886</v>
      </c>
      <c r="L460" s="95"/>
      <c r="M460" s="104"/>
      <c r="N460" s="137">
        <v>20626</v>
      </c>
      <c r="O460" s="138">
        <v>22000</v>
      </c>
      <c r="P460" s="138">
        <v>20000</v>
      </c>
      <c r="Q460" s="138">
        <v>0</v>
      </c>
      <c r="R460" s="138">
        <v>0</v>
      </c>
      <c r="S460" s="139">
        <v>0</v>
      </c>
      <c r="T460" s="322">
        <f t="shared" si="93"/>
        <v>-20626</v>
      </c>
      <c r="U460" s="140">
        <f t="shared" si="94"/>
        <v>-1</v>
      </c>
      <c r="V460" s="322">
        <f t="shared" si="98"/>
        <v>-22000</v>
      </c>
      <c r="W460" s="140">
        <f t="shared" si="95"/>
        <v>-1</v>
      </c>
      <c r="X460" s="322">
        <f t="shared" si="96"/>
        <v>-20000</v>
      </c>
      <c r="Y460" s="140">
        <f t="shared" si="97"/>
        <v>-1</v>
      </c>
      <c r="Z460" s="519">
        <v>15000</v>
      </c>
      <c r="AA460" s="111">
        <f t="shared" si="99"/>
        <v>20000</v>
      </c>
      <c r="AB460" s="111">
        <f t="shared" si="100"/>
        <v>0</v>
      </c>
    </row>
    <row r="461" spans="1:28" ht="36.75" customHeight="1">
      <c r="A461" s="116" t="s">
        <v>81</v>
      </c>
      <c r="B461" s="126" t="s">
        <v>2240</v>
      </c>
      <c r="C461" s="98" t="s">
        <v>2630</v>
      </c>
      <c r="D461" s="98" t="s">
        <v>82</v>
      </c>
      <c r="E461" s="559" t="s">
        <v>4120</v>
      </c>
      <c r="F461" s="540" t="s">
        <v>4121</v>
      </c>
      <c r="G461" s="512" t="s">
        <v>4886</v>
      </c>
      <c r="H461" s="512" t="s">
        <v>5002</v>
      </c>
      <c r="I461" s="541" t="s">
        <v>5003</v>
      </c>
      <c r="J461" s="576" t="s">
        <v>2909</v>
      </c>
      <c r="K461" s="577" t="s">
        <v>2725</v>
      </c>
      <c r="L461" s="95"/>
      <c r="M461" s="104"/>
      <c r="N461" s="137">
        <v>2201583.69</v>
      </c>
      <c r="O461" s="138">
        <v>1098260</v>
      </c>
      <c r="P461" s="138">
        <v>2202000</v>
      </c>
      <c r="Q461" s="138">
        <v>2202000</v>
      </c>
      <c r="R461" s="138">
        <v>2202000</v>
      </c>
      <c r="S461" s="139">
        <v>2202000</v>
      </c>
      <c r="T461" s="322">
        <f t="shared" si="93"/>
        <v>416.31000000005588</v>
      </c>
      <c r="U461" s="140">
        <f t="shared" si="94"/>
        <v>1.8909569592607942E-4</v>
      </c>
      <c r="V461" s="322">
        <f t="shared" si="98"/>
        <v>1103740</v>
      </c>
      <c r="W461" s="140">
        <f t="shared" si="95"/>
        <v>1.004989710997396</v>
      </c>
      <c r="X461" s="322">
        <f t="shared" si="96"/>
        <v>0</v>
      </c>
      <c r="Y461" s="140">
        <f t="shared" si="97"/>
        <v>0</v>
      </c>
      <c r="Z461" s="519">
        <v>1652000</v>
      </c>
      <c r="AA461" s="111">
        <f t="shared" si="99"/>
        <v>2202666.6666666665</v>
      </c>
      <c r="AB461" s="111">
        <f t="shared" si="100"/>
        <v>-666.66666666651145</v>
      </c>
    </row>
    <row r="462" spans="1:28" ht="36.75" customHeight="1">
      <c r="A462" s="116" t="s">
        <v>3414</v>
      </c>
      <c r="B462" s="126" t="s">
        <v>2240</v>
      </c>
      <c r="C462" s="98" t="s">
        <v>2630</v>
      </c>
      <c r="D462" s="98" t="s">
        <v>3415</v>
      </c>
      <c r="E462" s="559" t="s">
        <v>4122</v>
      </c>
      <c r="F462" s="540" t="s">
        <v>4123</v>
      </c>
      <c r="G462" s="512" t="s">
        <v>4886</v>
      </c>
      <c r="H462" s="512" t="s">
        <v>5002</v>
      </c>
      <c r="I462" s="541" t="s">
        <v>5003</v>
      </c>
      <c r="J462" s="576" t="s">
        <v>2909</v>
      </c>
      <c r="K462" s="577" t="s">
        <v>2725</v>
      </c>
      <c r="L462" s="95"/>
      <c r="M462" s="104"/>
      <c r="N462" s="137">
        <v>91429.73</v>
      </c>
      <c r="O462" s="138">
        <v>187470</v>
      </c>
      <c r="P462" s="138">
        <v>92000</v>
      </c>
      <c r="Q462" s="138">
        <v>92000</v>
      </c>
      <c r="R462" s="138">
        <v>92000</v>
      </c>
      <c r="S462" s="139">
        <v>92000</v>
      </c>
      <c r="T462" s="322">
        <f t="shared" si="93"/>
        <v>570.27000000000407</v>
      </c>
      <c r="U462" s="140">
        <f t="shared" si="94"/>
        <v>6.2372490873592659E-3</v>
      </c>
      <c r="V462" s="322">
        <f t="shared" si="98"/>
        <v>-95470</v>
      </c>
      <c r="W462" s="140">
        <f t="shared" si="95"/>
        <v>-0.50925481410358986</v>
      </c>
      <c r="X462" s="322">
        <f t="shared" si="96"/>
        <v>0</v>
      </c>
      <c r="Y462" s="140">
        <f t="shared" si="97"/>
        <v>0</v>
      </c>
      <c r="Z462" s="519">
        <v>69000</v>
      </c>
      <c r="AA462" s="111">
        <f t="shared" si="99"/>
        <v>92000</v>
      </c>
      <c r="AB462" s="111">
        <f t="shared" si="100"/>
        <v>0</v>
      </c>
    </row>
    <row r="463" spans="1:28" ht="36.75" customHeight="1">
      <c r="A463" s="116" t="s">
        <v>83</v>
      </c>
      <c r="B463" s="126" t="s">
        <v>2240</v>
      </c>
      <c r="C463" s="98" t="s">
        <v>2630</v>
      </c>
      <c r="D463" s="98" t="s">
        <v>2137</v>
      </c>
      <c r="E463" s="559" t="s">
        <v>4124</v>
      </c>
      <c r="F463" s="540" t="s">
        <v>4125</v>
      </c>
      <c r="G463" s="512" t="s">
        <v>4886</v>
      </c>
      <c r="H463" s="512" t="s">
        <v>5002</v>
      </c>
      <c r="I463" s="541" t="s">
        <v>5003</v>
      </c>
      <c r="J463" s="576" t="s">
        <v>2909</v>
      </c>
      <c r="K463" s="577" t="s">
        <v>2725</v>
      </c>
      <c r="L463" s="95"/>
      <c r="M463" s="104"/>
      <c r="N463" s="137">
        <v>209766.08</v>
      </c>
      <c r="O463" s="138">
        <v>166350</v>
      </c>
      <c r="P463" s="138">
        <v>210000</v>
      </c>
      <c r="Q463" s="138">
        <v>210000</v>
      </c>
      <c r="R463" s="138">
        <v>210000</v>
      </c>
      <c r="S463" s="139">
        <v>210000</v>
      </c>
      <c r="T463" s="322">
        <f t="shared" si="93"/>
        <v>233.92000000001281</v>
      </c>
      <c r="U463" s="140">
        <f t="shared" si="94"/>
        <v>1.1151469293796824E-3</v>
      </c>
      <c r="V463" s="322">
        <f t="shared" si="98"/>
        <v>43650</v>
      </c>
      <c r="W463" s="140">
        <f t="shared" si="95"/>
        <v>0.26239855725879169</v>
      </c>
      <c r="X463" s="322">
        <f t="shared" si="96"/>
        <v>0</v>
      </c>
      <c r="Y463" s="140">
        <f t="shared" si="97"/>
        <v>0</v>
      </c>
      <c r="Z463" s="519">
        <v>158000</v>
      </c>
      <c r="AA463" s="111">
        <f t="shared" si="99"/>
        <v>210666.66666666666</v>
      </c>
      <c r="AB463" s="111">
        <f t="shared" si="100"/>
        <v>-666.66666666665697</v>
      </c>
    </row>
    <row r="464" spans="1:28" ht="36.75" customHeight="1">
      <c r="A464" s="116" t="s">
        <v>3416</v>
      </c>
      <c r="B464" s="126" t="s">
        <v>2240</v>
      </c>
      <c r="C464" s="98" t="s">
        <v>2630</v>
      </c>
      <c r="D464" s="98" t="s">
        <v>1380</v>
      </c>
      <c r="E464" s="559" t="s">
        <v>4126</v>
      </c>
      <c r="F464" s="540" t="s">
        <v>4127</v>
      </c>
      <c r="G464" s="512" t="s">
        <v>4886</v>
      </c>
      <c r="H464" s="512" t="s">
        <v>5002</v>
      </c>
      <c r="I464" s="541" t="s">
        <v>5003</v>
      </c>
      <c r="J464" s="576" t="s">
        <v>2909</v>
      </c>
      <c r="K464" s="577" t="s">
        <v>2725</v>
      </c>
      <c r="L464" s="95"/>
      <c r="M464" s="104"/>
      <c r="N464" s="137">
        <v>6597.82</v>
      </c>
      <c r="O464" s="138">
        <v>59590</v>
      </c>
      <c r="P464" s="138">
        <v>6000</v>
      </c>
      <c r="Q464" s="138">
        <v>6000</v>
      </c>
      <c r="R464" s="138">
        <v>6000</v>
      </c>
      <c r="S464" s="139">
        <v>6000</v>
      </c>
      <c r="T464" s="322">
        <f t="shared" si="93"/>
        <v>-597.81999999999971</v>
      </c>
      <c r="U464" s="140">
        <f t="shared" si="94"/>
        <v>-9.0608716212324636E-2</v>
      </c>
      <c r="V464" s="322">
        <f t="shared" si="98"/>
        <v>-53590</v>
      </c>
      <c r="W464" s="140">
        <f t="shared" si="95"/>
        <v>-0.89931196509481459</v>
      </c>
      <c r="X464" s="322">
        <f t="shared" si="96"/>
        <v>0</v>
      </c>
      <c r="Y464" s="140">
        <f t="shared" si="97"/>
        <v>0</v>
      </c>
      <c r="Z464" s="519">
        <v>5000</v>
      </c>
      <c r="AA464" s="111">
        <f t="shared" si="99"/>
        <v>6666.666666666667</v>
      </c>
      <c r="AB464" s="111">
        <f t="shared" si="100"/>
        <v>-666.66666666666697</v>
      </c>
    </row>
    <row r="465" spans="1:28" ht="36.75" customHeight="1">
      <c r="A465" s="116" t="s">
        <v>84</v>
      </c>
      <c r="B465" s="126" t="s">
        <v>2240</v>
      </c>
      <c r="C465" s="98" t="s">
        <v>2630</v>
      </c>
      <c r="D465" s="98" t="s">
        <v>1070</v>
      </c>
      <c r="E465" s="559" t="s">
        <v>4128</v>
      </c>
      <c r="F465" s="540" t="s">
        <v>5480</v>
      </c>
      <c r="G465" s="512" t="s">
        <v>4886</v>
      </c>
      <c r="H465" s="512" t="s">
        <v>5002</v>
      </c>
      <c r="I465" s="541" t="s">
        <v>5003</v>
      </c>
      <c r="J465" s="576" t="s">
        <v>2909</v>
      </c>
      <c r="K465" s="577" t="s">
        <v>2725</v>
      </c>
      <c r="L465" s="95"/>
      <c r="M465" s="104"/>
      <c r="N465" s="137">
        <v>3509300.59</v>
      </c>
      <c r="O465" s="138">
        <v>1250730</v>
      </c>
      <c r="P465" s="138">
        <v>3510000</v>
      </c>
      <c r="Q465" s="138">
        <v>3510000</v>
      </c>
      <c r="R465" s="138">
        <v>3510000</v>
      </c>
      <c r="S465" s="139">
        <v>3510000</v>
      </c>
      <c r="T465" s="322">
        <f t="shared" si="93"/>
        <v>699.41000000014901</v>
      </c>
      <c r="U465" s="140">
        <f t="shared" si="94"/>
        <v>1.9930182156329592E-4</v>
      </c>
      <c r="V465" s="322">
        <f t="shared" si="98"/>
        <v>2259270</v>
      </c>
      <c r="W465" s="140">
        <f t="shared" si="95"/>
        <v>1.8063610851262863</v>
      </c>
      <c r="X465" s="322">
        <f t="shared" si="96"/>
        <v>0</v>
      </c>
      <c r="Y465" s="140">
        <f t="shared" si="97"/>
        <v>0</v>
      </c>
      <c r="Z465" s="519">
        <v>2633000</v>
      </c>
      <c r="AA465" s="111">
        <f t="shared" si="99"/>
        <v>3510666.6666666665</v>
      </c>
      <c r="AB465" s="111">
        <f t="shared" si="100"/>
        <v>-666.66666666651145</v>
      </c>
    </row>
    <row r="466" spans="1:28" ht="36.75" customHeight="1">
      <c r="A466" s="116" t="s">
        <v>3417</v>
      </c>
      <c r="B466" s="126" t="s">
        <v>2240</v>
      </c>
      <c r="C466" s="98" t="s">
        <v>2630</v>
      </c>
      <c r="D466" s="98" t="s">
        <v>3418</v>
      </c>
      <c r="E466" s="559" t="s">
        <v>4129</v>
      </c>
      <c r="F466" s="540" t="s">
        <v>5481</v>
      </c>
      <c r="G466" s="512" t="s">
        <v>4886</v>
      </c>
      <c r="H466" s="512" t="s">
        <v>5002</v>
      </c>
      <c r="I466" s="541" t="s">
        <v>5003</v>
      </c>
      <c r="J466" s="576" t="s">
        <v>2909</v>
      </c>
      <c r="K466" s="577" t="s">
        <v>2725</v>
      </c>
      <c r="L466" s="95"/>
      <c r="M466" s="104"/>
      <c r="N466" s="137">
        <v>161123.79</v>
      </c>
      <c r="O466" s="138">
        <v>322880</v>
      </c>
      <c r="P466" s="138">
        <v>162000</v>
      </c>
      <c r="Q466" s="138">
        <v>162000</v>
      </c>
      <c r="R466" s="138">
        <v>162000</v>
      </c>
      <c r="S466" s="139">
        <v>162000</v>
      </c>
      <c r="T466" s="322">
        <f t="shared" si="93"/>
        <v>876.20999999999185</v>
      </c>
      <c r="U466" s="140">
        <f t="shared" si="94"/>
        <v>5.4381168665408866E-3</v>
      </c>
      <c r="V466" s="322">
        <f t="shared" si="98"/>
        <v>-160880</v>
      </c>
      <c r="W466" s="140">
        <f t="shared" si="95"/>
        <v>-0.49826560951437066</v>
      </c>
      <c r="X466" s="322">
        <f t="shared" si="96"/>
        <v>0</v>
      </c>
      <c r="Y466" s="140">
        <f t="shared" si="97"/>
        <v>0</v>
      </c>
      <c r="Z466" s="519">
        <v>122000</v>
      </c>
      <c r="AA466" s="111">
        <f t="shared" si="99"/>
        <v>162666.66666666666</v>
      </c>
      <c r="AB466" s="111">
        <f t="shared" si="100"/>
        <v>-666.66666666665697</v>
      </c>
    </row>
    <row r="467" spans="1:28" ht="21.75" customHeight="1">
      <c r="A467" s="113" t="s">
        <v>1560</v>
      </c>
      <c r="B467" s="135" t="s">
        <v>1561</v>
      </c>
      <c r="C467" s="136" t="s">
        <v>3184</v>
      </c>
      <c r="D467" s="136" t="s">
        <v>3185</v>
      </c>
      <c r="E467" s="529" t="s">
        <v>1563</v>
      </c>
      <c r="F467" s="529" t="s">
        <v>1562</v>
      </c>
      <c r="G467" s="530"/>
      <c r="H467" s="530"/>
      <c r="I467" s="531"/>
      <c r="J467" s="532"/>
      <c r="K467" s="533"/>
      <c r="L467" s="95"/>
      <c r="M467" s="147"/>
      <c r="N467" s="137">
        <v>0</v>
      </c>
      <c r="O467" s="138">
        <v>0</v>
      </c>
      <c r="P467" s="138">
        <v>0</v>
      </c>
      <c r="Q467" s="138">
        <v>0</v>
      </c>
      <c r="R467" s="138">
        <v>0</v>
      </c>
      <c r="S467" s="139">
        <v>0</v>
      </c>
      <c r="T467" s="322">
        <f t="shared" si="93"/>
        <v>0</v>
      </c>
      <c r="U467" s="140" t="str">
        <f t="shared" si="94"/>
        <v/>
      </c>
      <c r="V467" s="322">
        <f t="shared" si="98"/>
        <v>0</v>
      </c>
      <c r="W467" s="140" t="str">
        <f t="shared" si="95"/>
        <v/>
      </c>
      <c r="X467" s="322">
        <f t="shared" si="96"/>
        <v>0</v>
      </c>
      <c r="Y467" s="140" t="str">
        <f t="shared" si="97"/>
        <v/>
      </c>
      <c r="Z467" s="519">
        <v>0</v>
      </c>
      <c r="AA467" s="111">
        <f t="shared" si="99"/>
        <v>0</v>
      </c>
      <c r="AB467" s="111">
        <f t="shared" si="100"/>
        <v>0</v>
      </c>
    </row>
    <row r="468" spans="1:28" ht="26.25" customHeight="1">
      <c r="A468" s="115" t="s">
        <v>1564</v>
      </c>
      <c r="B468" s="124" t="s">
        <v>1561</v>
      </c>
      <c r="C468" s="101" t="s">
        <v>3186</v>
      </c>
      <c r="D468" s="101" t="s">
        <v>3185</v>
      </c>
      <c r="E468" s="554" t="s">
        <v>1566</v>
      </c>
      <c r="F468" s="534" t="s">
        <v>1565</v>
      </c>
      <c r="G468" s="555"/>
      <c r="H468" s="555"/>
      <c r="I468" s="556"/>
      <c r="J468" s="557"/>
      <c r="K468" s="558"/>
      <c r="L468" s="95"/>
      <c r="M468" s="104"/>
      <c r="N468" s="137">
        <v>0</v>
      </c>
      <c r="O468" s="138">
        <v>0</v>
      </c>
      <c r="P468" s="138">
        <v>0</v>
      </c>
      <c r="Q468" s="138">
        <v>0</v>
      </c>
      <c r="R468" s="138">
        <v>0</v>
      </c>
      <c r="S468" s="139">
        <v>0</v>
      </c>
      <c r="T468" s="322">
        <f t="shared" si="93"/>
        <v>0</v>
      </c>
      <c r="U468" s="140" t="str">
        <f t="shared" si="94"/>
        <v/>
      </c>
      <c r="V468" s="322">
        <f t="shared" si="98"/>
        <v>0</v>
      </c>
      <c r="W468" s="140" t="str">
        <f t="shared" si="95"/>
        <v/>
      </c>
      <c r="X468" s="322">
        <f t="shared" si="96"/>
        <v>0</v>
      </c>
      <c r="Y468" s="140" t="str">
        <f t="shared" si="97"/>
        <v/>
      </c>
      <c r="Z468" s="519">
        <v>0</v>
      </c>
      <c r="AA468" s="111">
        <f t="shared" si="99"/>
        <v>0</v>
      </c>
      <c r="AB468" s="111">
        <f t="shared" si="100"/>
        <v>0</v>
      </c>
    </row>
    <row r="469" spans="1:28" ht="26.25" customHeight="1">
      <c r="A469" s="116" t="s">
        <v>1567</v>
      </c>
      <c r="B469" s="126" t="s">
        <v>1561</v>
      </c>
      <c r="C469" s="98" t="s">
        <v>3186</v>
      </c>
      <c r="D469" s="98" t="s">
        <v>3183</v>
      </c>
      <c r="E469" s="559" t="s">
        <v>4130</v>
      </c>
      <c r="F469" s="540" t="s">
        <v>4131</v>
      </c>
      <c r="G469" s="555" t="s">
        <v>1450</v>
      </c>
      <c r="H469" s="555" t="s">
        <v>3419</v>
      </c>
      <c r="I469" s="556" t="s">
        <v>4132</v>
      </c>
      <c r="J469" s="557" t="s">
        <v>208</v>
      </c>
      <c r="K469" s="558" t="s">
        <v>2887</v>
      </c>
      <c r="L469" s="95"/>
      <c r="M469" s="104"/>
      <c r="N469" s="137">
        <v>859034.43</v>
      </c>
      <c r="O469" s="138">
        <v>852000</v>
      </c>
      <c r="P469" s="138">
        <v>1018000</v>
      </c>
      <c r="Q469" s="138">
        <v>1025000</v>
      </c>
      <c r="R469" s="138">
        <v>1026000</v>
      </c>
      <c r="S469" s="139">
        <v>1033000</v>
      </c>
      <c r="T469" s="322">
        <f t="shared" si="93"/>
        <v>165965.56999999995</v>
      </c>
      <c r="U469" s="140">
        <f t="shared" si="94"/>
        <v>0.19320013750787607</v>
      </c>
      <c r="V469" s="322">
        <f t="shared" si="98"/>
        <v>173000</v>
      </c>
      <c r="W469" s="140">
        <f t="shared" si="95"/>
        <v>0.20305164319248825</v>
      </c>
      <c r="X469" s="322">
        <f t="shared" si="96"/>
        <v>7000</v>
      </c>
      <c r="Y469" s="140">
        <f t="shared" si="97"/>
        <v>6.8762278978389E-3</v>
      </c>
      <c r="Z469" s="519">
        <v>763359.97</v>
      </c>
      <c r="AA469" s="111">
        <f t="shared" si="99"/>
        <v>1017813.2933333333</v>
      </c>
      <c r="AB469" s="111">
        <f t="shared" si="100"/>
        <v>186.70666666666511</v>
      </c>
    </row>
    <row r="470" spans="1:28" ht="26.25" customHeight="1">
      <c r="A470" s="116" t="s">
        <v>3420</v>
      </c>
      <c r="B470" s="126" t="s">
        <v>1561</v>
      </c>
      <c r="C470" s="98" t="s">
        <v>3186</v>
      </c>
      <c r="D470" s="98" t="s">
        <v>2833</v>
      </c>
      <c r="E470" s="559" t="s">
        <v>4133</v>
      </c>
      <c r="F470" s="540" t="s">
        <v>4134</v>
      </c>
      <c r="G470" s="555" t="s">
        <v>1452</v>
      </c>
      <c r="H470" s="555" t="s">
        <v>3421</v>
      </c>
      <c r="I470" s="556" t="s">
        <v>4135</v>
      </c>
      <c r="J470" s="557" t="s">
        <v>208</v>
      </c>
      <c r="K470" s="558" t="s">
        <v>2887</v>
      </c>
      <c r="L470" s="95"/>
      <c r="M470" s="104"/>
      <c r="N470" s="137">
        <v>56956.2</v>
      </c>
      <c r="O470" s="138">
        <v>68000</v>
      </c>
      <c r="P470" s="138">
        <v>0</v>
      </c>
      <c r="Q470" s="138">
        <v>0</v>
      </c>
      <c r="R470" s="138">
        <v>0</v>
      </c>
      <c r="S470" s="139">
        <v>0</v>
      </c>
      <c r="T470" s="322">
        <f t="shared" si="93"/>
        <v>-56956.2</v>
      </c>
      <c r="U470" s="140">
        <f t="shared" si="94"/>
        <v>-1</v>
      </c>
      <c r="V470" s="322">
        <f t="shared" si="98"/>
        <v>-68000</v>
      </c>
      <c r="W470" s="140">
        <f t="shared" si="95"/>
        <v>-1</v>
      </c>
      <c r="X470" s="322">
        <f t="shared" si="96"/>
        <v>0</v>
      </c>
      <c r="Y470" s="140" t="str">
        <f t="shared" si="97"/>
        <v/>
      </c>
      <c r="Z470" s="519">
        <v>0</v>
      </c>
      <c r="AA470" s="111">
        <f t="shared" si="99"/>
        <v>0</v>
      </c>
      <c r="AB470" s="111">
        <f t="shared" si="100"/>
        <v>0</v>
      </c>
    </row>
    <row r="471" spans="1:28" ht="36.75" customHeight="1">
      <c r="A471" s="116" t="s">
        <v>1568</v>
      </c>
      <c r="B471" s="126" t="s">
        <v>1561</v>
      </c>
      <c r="C471" s="98" t="s">
        <v>3186</v>
      </c>
      <c r="D471" s="98" t="s">
        <v>3193</v>
      </c>
      <c r="E471" s="559" t="s">
        <v>4136</v>
      </c>
      <c r="F471" s="540" t="s">
        <v>4137</v>
      </c>
      <c r="G471" s="555" t="s">
        <v>1450</v>
      </c>
      <c r="H471" s="555" t="s">
        <v>3419</v>
      </c>
      <c r="I471" s="556" t="s">
        <v>4132</v>
      </c>
      <c r="J471" s="557" t="s">
        <v>208</v>
      </c>
      <c r="K471" s="558" t="s">
        <v>2887</v>
      </c>
      <c r="L471" s="95"/>
      <c r="M471" s="104"/>
      <c r="N471" s="137">
        <v>0</v>
      </c>
      <c r="O471" s="138">
        <v>0</v>
      </c>
      <c r="P471" s="138">
        <v>0</v>
      </c>
      <c r="Q471" s="138">
        <v>0</v>
      </c>
      <c r="R471" s="138">
        <v>0</v>
      </c>
      <c r="S471" s="139">
        <v>0</v>
      </c>
      <c r="T471" s="322">
        <f t="shared" si="93"/>
        <v>0</v>
      </c>
      <c r="U471" s="140" t="str">
        <f t="shared" si="94"/>
        <v/>
      </c>
      <c r="V471" s="322">
        <f t="shared" si="98"/>
        <v>0</v>
      </c>
      <c r="W471" s="140" t="str">
        <f t="shared" si="95"/>
        <v/>
      </c>
      <c r="X471" s="322">
        <f t="shared" si="96"/>
        <v>0</v>
      </c>
      <c r="Y471" s="140" t="str">
        <f t="shared" si="97"/>
        <v/>
      </c>
      <c r="Z471" s="519">
        <v>0</v>
      </c>
      <c r="AA471" s="111">
        <f t="shared" si="99"/>
        <v>0</v>
      </c>
      <c r="AB471" s="111">
        <f t="shared" si="100"/>
        <v>0</v>
      </c>
    </row>
    <row r="472" spans="1:28" ht="36.75" customHeight="1">
      <c r="A472" s="116" t="s">
        <v>3214</v>
      </c>
      <c r="B472" s="126" t="s">
        <v>1561</v>
      </c>
      <c r="C472" s="98" t="s">
        <v>3186</v>
      </c>
      <c r="D472" s="98" t="s">
        <v>1397</v>
      </c>
      <c r="E472" s="559" t="s">
        <v>4138</v>
      </c>
      <c r="F472" s="540" t="s">
        <v>4139</v>
      </c>
      <c r="G472" s="555" t="s">
        <v>1452</v>
      </c>
      <c r="H472" s="555" t="s">
        <v>3421</v>
      </c>
      <c r="I472" s="556" t="s">
        <v>4135</v>
      </c>
      <c r="J472" s="557" t="s">
        <v>208</v>
      </c>
      <c r="K472" s="558" t="s">
        <v>2887</v>
      </c>
      <c r="L472" s="95"/>
      <c r="M472" s="104"/>
      <c r="N472" s="137">
        <v>0</v>
      </c>
      <c r="O472" s="138">
        <v>0</v>
      </c>
      <c r="P472" s="138">
        <v>0</v>
      </c>
      <c r="Q472" s="138">
        <v>0</v>
      </c>
      <c r="R472" s="138">
        <v>0</v>
      </c>
      <c r="S472" s="139">
        <v>0</v>
      </c>
      <c r="T472" s="322">
        <f t="shared" si="93"/>
        <v>0</v>
      </c>
      <c r="U472" s="140" t="str">
        <f t="shared" si="94"/>
        <v/>
      </c>
      <c r="V472" s="322">
        <f t="shared" si="98"/>
        <v>0</v>
      </c>
      <c r="W472" s="140" t="str">
        <f t="shared" si="95"/>
        <v/>
      </c>
      <c r="X472" s="322">
        <f t="shared" si="96"/>
        <v>0</v>
      </c>
      <c r="Y472" s="140" t="str">
        <f t="shared" si="97"/>
        <v/>
      </c>
      <c r="Z472" s="519">
        <v>0</v>
      </c>
      <c r="AA472" s="111">
        <f t="shared" si="99"/>
        <v>0</v>
      </c>
      <c r="AB472" s="111">
        <f t="shared" si="100"/>
        <v>0</v>
      </c>
    </row>
    <row r="473" spans="1:28" ht="26.25" customHeight="1">
      <c r="A473" s="116" t="s">
        <v>1569</v>
      </c>
      <c r="B473" s="126" t="s">
        <v>1561</v>
      </c>
      <c r="C473" s="98" t="s">
        <v>3186</v>
      </c>
      <c r="D473" s="98" t="s">
        <v>2631</v>
      </c>
      <c r="E473" s="559" t="s">
        <v>4140</v>
      </c>
      <c r="F473" s="540" t="s">
        <v>4141</v>
      </c>
      <c r="G473" s="555" t="s">
        <v>1458</v>
      </c>
      <c r="H473" s="555" t="s">
        <v>3215</v>
      </c>
      <c r="I473" s="556" t="s">
        <v>4142</v>
      </c>
      <c r="J473" s="557" t="s">
        <v>2888</v>
      </c>
      <c r="K473" s="558" t="s">
        <v>2889</v>
      </c>
      <c r="L473" s="95"/>
      <c r="M473" s="104"/>
      <c r="N473" s="137">
        <v>675857.8</v>
      </c>
      <c r="O473" s="138">
        <v>662000</v>
      </c>
      <c r="P473" s="138">
        <v>806000</v>
      </c>
      <c r="Q473" s="138">
        <v>914000</v>
      </c>
      <c r="R473" s="138">
        <v>1221000</v>
      </c>
      <c r="S473" s="139">
        <v>1227000</v>
      </c>
      <c r="T473" s="322">
        <f t="shared" si="93"/>
        <v>238142.19999999995</v>
      </c>
      <c r="U473" s="140">
        <f t="shared" si="94"/>
        <v>0.35235548069431166</v>
      </c>
      <c r="V473" s="322">
        <f t="shared" si="98"/>
        <v>252000</v>
      </c>
      <c r="W473" s="140">
        <f t="shared" si="95"/>
        <v>0.38066465256797583</v>
      </c>
      <c r="X473" s="322">
        <f t="shared" si="96"/>
        <v>108000</v>
      </c>
      <c r="Y473" s="140">
        <f t="shared" si="97"/>
        <v>0.13399503722084366</v>
      </c>
      <c r="Z473" s="519">
        <v>610953.80000000005</v>
      </c>
      <c r="AA473" s="111">
        <f t="shared" si="99"/>
        <v>814605.06666666677</v>
      </c>
      <c r="AB473" s="111">
        <f t="shared" si="100"/>
        <v>-8605.0666666667676</v>
      </c>
    </row>
    <row r="474" spans="1:28" ht="26.25" customHeight="1">
      <c r="A474" s="116" t="s">
        <v>3216</v>
      </c>
      <c r="B474" s="126" t="s">
        <v>1561</v>
      </c>
      <c r="C474" s="98" t="s">
        <v>3186</v>
      </c>
      <c r="D474" s="98" t="s">
        <v>2834</v>
      </c>
      <c r="E474" s="559" t="s">
        <v>4143</v>
      </c>
      <c r="F474" s="540" t="s">
        <v>5482</v>
      </c>
      <c r="G474" s="555" t="s">
        <v>1460</v>
      </c>
      <c r="H474" s="555" t="s">
        <v>3217</v>
      </c>
      <c r="I474" s="556" t="s">
        <v>4144</v>
      </c>
      <c r="J474" s="557" t="s">
        <v>2888</v>
      </c>
      <c r="K474" s="558" t="s">
        <v>2889</v>
      </c>
      <c r="L474" s="95"/>
      <c r="M474" s="104"/>
      <c r="N474" s="137">
        <v>101280.58</v>
      </c>
      <c r="O474" s="138">
        <v>83000</v>
      </c>
      <c r="P474" s="138">
        <v>119000</v>
      </c>
      <c r="Q474" s="138">
        <v>119000</v>
      </c>
      <c r="R474" s="138">
        <v>119000</v>
      </c>
      <c r="S474" s="139">
        <v>119000</v>
      </c>
      <c r="T474" s="322">
        <f t="shared" si="93"/>
        <v>17719.419999999998</v>
      </c>
      <c r="U474" s="140">
        <f t="shared" si="94"/>
        <v>0.17495377692347336</v>
      </c>
      <c r="V474" s="322">
        <f t="shared" si="98"/>
        <v>36000</v>
      </c>
      <c r="W474" s="140">
        <f t="shared" si="95"/>
        <v>0.43373493975903615</v>
      </c>
      <c r="X474" s="322">
        <f t="shared" si="96"/>
        <v>0</v>
      </c>
      <c r="Y474" s="140">
        <f t="shared" si="97"/>
        <v>0</v>
      </c>
      <c r="Z474" s="519">
        <v>88774.89</v>
      </c>
      <c r="AA474" s="111">
        <f t="shared" si="99"/>
        <v>118366.52</v>
      </c>
      <c r="AB474" s="111">
        <f t="shared" si="100"/>
        <v>633.47999999999593</v>
      </c>
    </row>
    <row r="475" spans="1:28" ht="36.75" customHeight="1">
      <c r="A475" s="116" t="s">
        <v>1570</v>
      </c>
      <c r="B475" s="126" t="s">
        <v>1561</v>
      </c>
      <c r="C475" s="98" t="s">
        <v>3186</v>
      </c>
      <c r="D475" s="98" t="s">
        <v>1404</v>
      </c>
      <c r="E475" s="559" t="s">
        <v>4145</v>
      </c>
      <c r="F475" s="540" t="s">
        <v>4146</v>
      </c>
      <c r="G475" s="555" t="s">
        <v>1458</v>
      </c>
      <c r="H475" s="555" t="s">
        <v>3215</v>
      </c>
      <c r="I475" s="556" t="s">
        <v>4142</v>
      </c>
      <c r="J475" s="557" t="s">
        <v>2888</v>
      </c>
      <c r="K475" s="558" t="s">
        <v>2889</v>
      </c>
      <c r="L475" s="95"/>
      <c r="M475" s="104"/>
      <c r="N475" s="137">
        <v>0</v>
      </c>
      <c r="O475" s="138">
        <v>0</v>
      </c>
      <c r="P475" s="138">
        <v>0</v>
      </c>
      <c r="Q475" s="138">
        <v>0</v>
      </c>
      <c r="R475" s="138">
        <v>0</v>
      </c>
      <c r="S475" s="139">
        <v>0</v>
      </c>
      <c r="T475" s="322">
        <f t="shared" si="93"/>
        <v>0</v>
      </c>
      <c r="U475" s="140" t="str">
        <f t="shared" si="94"/>
        <v/>
      </c>
      <c r="V475" s="322">
        <f t="shared" si="98"/>
        <v>0</v>
      </c>
      <c r="W475" s="140" t="str">
        <f t="shared" si="95"/>
        <v/>
      </c>
      <c r="X475" s="322">
        <f t="shared" si="96"/>
        <v>0</v>
      </c>
      <c r="Y475" s="140" t="str">
        <f t="shared" si="97"/>
        <v/>
      </c>
      <c r="Z475" s="519">
        <v>0</v>
      </c>
      <c r="AA475" s="111">
        <f t="shared" si="99"/>
        <v>0</v>
      </c>
      <c r="AB475" s="111">
        <f t="shared" si="100"/>
        <v>0</v>
      </c>
    </row>
    <row r="476" spans="1:28" ht="36.75" customHeight="1">
      <c r="A476" s="116" t="s">
        <v>3218</v>
      </c>
      <c r="B476" s="126" t="s">
        <v>1561</v>
      </c>
      <c r="C476" s="98" t="s">
        <v>3186</v>
      </c>
      <c r="D476" s="98" t="s">
        <v>1372</v>
      </c>
      <c r="E476" s="559" t="s">
        <v>4147</v>
      </c>
      <c r="F476" s="540" t="s">
        <v>4148</v>
      </c>
      <c r="G476" s="555" t="s">
        <v>1460</v>
      </c>
      <c r="H476" s="555" t="s">
        <v>3217</v>
      </c>
      <c r="I476" s="556" t="s">
        <v>4144</v>
      </c>
      <c r="J476" s="557" t="s">
        <v>2888</v>
      </c>
      <c r="K476" s="558" t="s">
        <v>2889</v>
      </c>
      <c r="L476" s="95"/>
      <c r="M476" s="104"/>
      <c r="N476" s="137">
        <v>0</v>
      </c>
      <c r="O476" s="138">
        <v>0</v>
      </c>
      <c r="P476" s="138">
        <v>0</v>
      </c>
      <c r="Q476" s="138">
        <v>0</v>
      </c>
      <c r="R476" s="138">
        <v>0</v>
      </c>
      <c r="S476" s="139">
        <v>0</v>
      </c>
      <c r="T476" s="322">
        <f t="shared" si="93"/>
        <v>0</v>
      </c>
      <c r="U476" s="140" t="str">
        <f t="shared" si="94"/>
        <v/>
      </c>
      <c r="V476" s="322">
        <f t="shared" si="98"/>
        <v>0</v>
      </c>
      <c r="W476" s="140" t="str">
        <f t="shared" si="95"/>
        <v/>
      </c>
      <c r="X476" s="322">
        <f t="shared" si="96"/>
        <v>0</v>
      </c>
      <c r="Y476" s="140" t="str">
        <f t="shared" si="97"/>
        <v/>
      </c>
      <c r="Z476" s="519">
        <v>0</v>
      </c>
      <c r="AA476" s="111">
        <f t="shared" si="99"/>
        <v>0</v>
      </c>
      <c r="AB476" s="111">
        <f t="shared" si="100"/>
        <v>0</v>
      </c>
    </row>
    <row r="477" spans="1:28" ht="25.5" customHeight="1">
      <c r="A477" s="117" t="s">
        <v>1571</v>
      </c>
      <c r="B477" s="127" t="s">
        <v>1561</v>
      </c>
      <c r="C477" s="99" t="s">
        <v>3187</v>
      </c>
      <c r="D477" s="99" t="s">
        <v>3185</v>
      </c>
      <c r="E477" s="534" t="s">
        <v>1573</v>
      </c>
      <c r="F477" s="534" t="s">
        <v>1572</v>
      </c>
      <c r="G477" s="555"/>
      <c r="H477" s="555"/>
      <c r="I477" s="556"/>
      <c r="J477" s="557"/>
      <c r="K477" s="558"/>
      <c r="L477" s="95"/>
      <c r="M477" s="104"/>
      <c r="N477" s="137">
        <v>0</v>
      </c>
      <c r="O477" s="138">
        <v>0</v>
      </c>
      <c r="P477" s="138">
        <v>0</v>
      </c>
      <c r="Q477" s="138">
        <v>0</v>
      </c>
      <c r="R477" s="138">
        <v>0</v>
      </c>
      <c r="S477" s="139">
        <v>0</v>
      </c>
      <c r="T477" s="322">
        <f t="shared" ref="T477:T540" si="101">IF(N477="","",Q477-N477)</f>
        <v>0</v>
      </c>
      <c r="U477" s="140" t="str">
        <f t="shared" ref="U477:U540" si="102">IF(N477=0,"",T477/N477)</f>
        <v/>
      </c>
      <c r="V477" s="322">
        <f t="shared" si="98"/>
        <v>0</v>
      </c>
      <c r="W477" s="140" t="str">
        <f t="shared" ref="W477:W540" si="103">IF(O477=0,"",V477/O477)</f>
        <v/>
      </c>
      <c r="X477" s="322">
        <f t="shared" ref="X477:X540" si="104">IF(P477="","",Q477-P477)</f>
        <v>0</v>
      </c>
      <c r="Y477" s="140" t="str">
        <f t="shared" ref="Y477:Y540" si="105">IF(P477=0,"",X477/P477)</f>
        <v/>
      </c>
      <c r="Z477" s="519">
        <v>0</v>
      </c>
      <c r="AA477" s="111">
        <f t="shared" si="99"/>
        <v>0</v>
      </c>
      <c r="AB477" s="111">
        <f t="shared" si="100"/>
        <v>0</v>
      </c>
    </row>
    <row r="478" spans="1:28" ht="25.5" customHeight="1">
      <c r="A478" s="116" t="s">
        <v>1574</v>
      </c>
      <c r="B478" s="126" t="s">
        <v>1561</v>
      </c>
      <c r="C478" s="98" t="s">
        <v>3187</v>
      </c>
      <c r="D478" s="98" t="s">
        <v>3183</v>
      </c>
      <c r="E478" s="540" t="s">
        <v>4149</v>
      </c>
      <c r="F478" s="540" t="s">
        <v>4150</v>
      </c>
      <c r="G478" s="555" t="s">
        <v>1450</v>
      </c>
      <c r="H478" s="555" t="s">
        <v>3419</v>
      </c>
      <c r="I478" s="556" t="s">
        <v>4132</v>
      </c>
      <c r="J478" s="557" t="s">
        <v>208</v>
      </c>
      <c r="K478" s="558" t="s">
        <v>2887</v>
      </c>
      <c r="L478" s="95"/>
      <c r="M478" s="104"/>
      <c r="N478" s="137">
        <v>22265.7</v>
      </c>
      <c r="O478" s="138">
        <v>15000</v>
      </c>
      <c r="P478" s="138">
        <v>20000</v>
      </c>
      <c r="Q478" s="138">
        <v>20000</v>
      </c>
      <c r="R478" s="138">
        <v>20000</v>
      </c>
      <c r="S478" s="139">
        <v>20000</v>
      </c>
      <c r="T478" s="322">
        <f t="shared" si="101"/>
        <v>-2265.7000000000007</v>
      </c>
      <c r="U478" s="140">
        <f t="shared" si="102"/>
        <v>-0.10175741162415737</v>
      </c>
      <c r="V478" s="322">
        <f t="shared" si="98"/>
        <v>5000</v>
      </c>
      <c r="W478" s="140">
        <f t="shared" si="103"/>
        <v>0.33333333333333331</v>
      </c>
      <c r="X478" s="322">
        <f t="shared" si="104"/>
        <v>0</v>
      </c>
      <c r="Y478" s="140">
        <f t="shared" si="105"/>
        <v>0</v>
      </c>
      <c r="Z478" s="519">
        <v>15121.03</v>
      </c>
      <c r="AA478" s="111">
        <f t="shared" si="99"/>
        <v>20161.373333333333</v>
      </c>
      <c r="AB478" s="111">
        <f t="shared" si="100"/>
        <v>-161.37333333333299</v>
      </c>
    </row>
    <row r="479" spans="1:28" ht="25.5" customHeight="1">
      <c r="A479" s="116" t="s">
        <v>3219</v>
      </c>
      <c r="B479" s="126" t="s">
        <v>1561</v>
      </c>
      <c r="C479" s="98" t="s">
        <v>3187</v>
      </c>
      <c r="D479" s="98" t="s">
        <v>2833</v>
      </c>
      <c r="E479" s="540" t="s">
        <v>4151</v>
      </c>
      <c r="F479" s="540" t="s">
        <v>4152</v>
      </c>
      <c r="G479" s="555" t="s">
        <v>1452</v>
      </c>
      <c r="H479" s="555" t="s">
        <v>3421</v>
      </c>
      <c r="I479" s="556" t="s">
        <v>4135</v>
      </c>
      <c r="J479" s="557" t="s">
        <v>208</v>
      </c>
      <c r="K479" s="558" t="s">
        <v>2887</v>
      </c>
      <c r="L479" s="95"/>
      <c r="M479" s="104"/>
      <c r="N479" s="137">
        <v>36.4</v>
      </c>
      <c r="O479" s="138">
        <v>7000</v>
      </c>
      <c r="P479" s="138">
        <v>0</v>
      </c>
      <c r="Q479" s="138">
        <v>0</v>
      </c>
      <c r="R479" s="138">
        <v>0</v>
      </c>
      <c r="S479" s="139">
        <v>0</v>
      </c>
      <c r="T479" s="322">
        <f t="shared" si="101"/>
        <v>-36.4</v>
      </c>
      <c r="U479" s="140">
        <f t="shared" si="102"/>
        <v>-1</v>
      </c>
      <c r="V479" s="322">
        <f t="shared" si="98"/>
        <v>-7000</v>
      </c>
      <c r="W479" s="140">
        <f t="shared" si="103"/>
        <v>-1</v>
      </c>
      <c r="X479" s="322">
        <f t="shared" si="104"/>
        <v>0</v>
      </c>
      <c r="Y479" s="140" t="str">
        <f t="shared" si="105"/>
        <v/>
      </c>
      <c r="Z479" s="519">
        <v>0</v>
      </c>
      <c r="AA479" s="111">
        <f t="shared" si="99"/>
        <v>0</v>
      </c>
      <c r="AB479" s="111">
        <f t="shared" si="100"/>
        <v>0</v>
      </c>
    </row>
    <row r="480" spans="1:28" ht="25.5" customHeight="1">
      <c r="A480" s="116" t="s">
        <v>1575</v>
      </c>
      <c r="B480" s="126" t="s">
        <v>1561</v>
      </c>
      <c r="C480" s="98" t="s">
        <v>3187</v>
      </c>
      <c r="D480" s="98" t="s">
        <v>3193</v>
      </c>
      <c r="E480" s="540" t="s">
        <v>4153</v>
      </c>
      <c r="F480" s="540" t="s">
        <v>4154</v>
      </c>
      <c r="G480" s="555" t="s">
        <v>1458</v>
      </c>
      <c r="H480" s="555" t="s">
        <v>3215</v>
      </c>
      <c r="I480" s="556" t="s">
        <v>4142</v>
      </c>
      <c r="J480" s="557" t="s">
        <v>2888</v>
      </c>
      <c r="K480" s="558" t="s">
        <v>2889</v>
      </c>
      <c r="L480" s="95"/>
      <c r="M480" s="104"/>
      <c r="N480" s="137">
        <v>50272.43</v>
      </c>
      <c r="O480" s="138">
        <v>50000</v>
      </c>
      <c r="P480" s="138">
        <v>42000</v>
      </c>
      <c r="Q480" s="138">
        <v>42000</v>
      </c>
      <c r="R480" s="138">
        <v>42000</v>
      </c>
      <c r="S480" s="139">
        <v>42000</v>
      </c>
      <c r="T480" s="322">
        <f t="shared" si="101"/>
        <v>-8272.43</v>
      </c>
      <c r="U480" s="140">
        <f t="shared" si="102"/>
        <v>-0.16455202185372778</v>
      </c>
      <c r="V480" s="322">
        <f t="shared" si="98"/>
        <v>-8000</v>
      </c>
      <c r="W480" s="140">
        <f t="shared" si="103"/>
        <v>-0.16</v>
      </c>
      <c r="X480" s="322">
        <f t="shared" si="104"/>
        <v>0</v>
      </c>
      <c r="Y480" s="140">
        <f t="shared" si="105"/>
        <v>0</v>
      </c>
      <c r="Z480" s="519">
        <v>35415.1</v>
      </c>
      <c r="AA480" s="111">
        <f t="shared" si="99"/>
        <v>47220.133333333331</v>
      </c>
      <c r="AB480" s="111">
        <f t="shared" si="100"/>
        <v>-5220.1333333333314</v>
      </c>
    </row>
    <row r="481" spans="1:28" ht="25.5" customHeight="1">
      <c r="A481" s="116" t="s">
        <v>3220</v>
      </c>
      <c r="B481" s="126" t="s">
        <v>1561</v>
      </c>
      <c r="C481" s="98" t="s">
        <v>3187</v>
      </c>
      <c r="D481" s="98" t="s">
        <v>1397</v>
      </c>
      <c r="E481" s="540" t="s">
        <v>4155</v>
      </c>
      <c r="F481" s="540" t="s">
        <v>4156</v>
      </c>
      <c r="G481" s="555" t="s">
        <v>1460</v>
      </c>
      <c r="H481" s="555" t="s">
        <v>3217</v>
      </c>
      <c r="I481" s="556" t="s">
        <v>4144</v>
      </c>
      <c r="J481" s="557" t="s">
        <v>2888</v>
      </c>
      <c r="K481" s="558" t="s">
        <v>2889</v>
      </c>
      <c r="L481" s="95"/>
      <c r="M481" s="104"/>
      <c r="N481" s="137">
        <v>6603.99</v>
      </c>
      <c r="O481" s="138">
        <v>6000</v>
      </c>
      <c r="P481" s="138">
        <v>11000</v>
      </c>
      <c r="Q481" s="138">
        <v>19000</v>
      </c>
      <c r="R481" s="138">
        <v>19000</v>
      </c>
      <c r="S481" s="139">
        <v>19000</v>
      </c>
      <c r="T481" s="322">
        <f t="shared" si="101"/>
        <v>12396.01</v>
      </c>
      <c r="U481" s="140">
        <f t="shared" si="102"/>
        <v>1.8770485721510786</v>
      </c>
      <c r="V481" s="322">
        <f t="shared" si="98"/>
        <v>13000</v>
      </c>
      <c r="W481" s="140">
        <f t="shared" si="103"/>
        <v>2.1666666666666665</v>
      </c>
      <c r="X481" s="322">
        <f t="shared" si="104"/>
        <v>8000</v>
      </c>
      <c r="Y481" s="140">
        <f t="shared" si="105"/>
        <v>0.72727272727272729</v>
      </c>
      <c r="Z481" s="519">
        <v>8055.95</v>
      </c>
      <c r="AA481" s="111">
        <f t="shared" si="99"/>
        <v>10741.266666666666</v>
      </c>
      <c r="AB481" s="111">
        <f t="shared" si="100"/>
        <v>258.73333333333358</v>
      </c>
    </row>
    <row r="482" spans="1:28" ht="25.5" customHeight="1">
      <c r="A482" s="117" t="s">
        <v>1576</v>
      </c>
      <c r="B482" s="127" t="s">
        <v>1561</v>
      </c>
      <c r="C482" s="99" t="s">
        <v>3189</v>
      </c>
      <c r="D482" s="99" t="s">
        <v>3185</v>
      </c>
      <c r="E482" s="534" t="s">
        <v>1578</v>
      </c>
      <c r="F482" s="534" t="s">
        <v>1577</v>
      </c>
      <c r="G482" s="555"/>
      <c r="H482" s="555"/>
      <c r="I482" s="556"/>
      <c r="J482" s="557"/>
      <c r="K482" s="558"/>
      <c r="L482" s="95"/>
      <c r="M482" s="104"/>
      <c r="N482" s="137">
        <v>0</v>
      </c>
      <c r="O482" s="138">
        <v>0</v>
      </c>
      <c r="P482" s="138">
        <v>0</v>
      </c>
      <c r="Q482" s="138">
        <v>0</v>
      </c>
      <c r="R482" s="138">
        <v>0</v>
      </c>
      <c r="S482" s="139">
        <v>0</v>
      </c>
      <c r="T482" s="322">
        <f t="shared" si="101"/>
        <v>0</v>
      </c>
      <c r="U482" s="140" t="str">
        <f t="shared" si="102"/>
        <v/>
      </c>
      <c r="V482" s="322">
        <f t="shared" si="98"/>
        <v>0</v>
      </c>
      <c r="W482" s="140" t="str">
        <f t="shared" si="103"/>
        <v/>
      </c>
      <c r="X482" s="322">
        <f t="shared" si="104"/>
        <v>0</v>
      </c>
      <c r="Y482" s="140" t="str">
        <f t="shared" si="105"/>
        <v/>
      </c>
      <c r="Z482" s="519">
        <v>0</v>
      </c>
      <c r="AA482" s="111">
        <f t="shared" si="99"/>
        <v>0</v>
      </c>
      <c r="AB482" s="111">
        <f t="shared" si="100"/>
        <v>0</v>
      </c>
    </row>
    <row r="483" spans="1:28" ht="25.5" customHeight="1">
      <c r="A483" s="116" t="s">
        <v>1579</v>
      </c>
      <c r="B483" s="126" t="s">
        <v>1561</v>
      </c>
      <c r="C483" s="98" t="s">
        <v>3189</v>
      </c>
      <c r="D483" s="98" t="s">
        <v>3183</v>
      </c>
      <c r="E483" s="540" t="s">
        <v>4157</v>
      </c>
      <c r="F483" s="540" t="s">
        <v>4158</v>
      </c>
      <c r="G483" s="555" t="s">
        <v>1450</v>
      </c>
      <c r="H483" s="555" t="s">
        <v>3419</v>
      </c>
      <c r="I483" s="556" t="s">
        <v>4132</v>
      </c>
      <c r="J483" s="557" t="s">
        <v>208</v>
      </c>
      <c r="K483" s="558" t="s">
        <v>2887</v>
      </c>
      <c r="L483" s="95"/>
      <c r="M483" s="104"/>
      <c r="N483" s="137">
        <v>67747.97</v>
      </c>
      <c r="O483" s="138">
        <v>71000</v>
      </c>
      <c r="P483" s="138">
        <v>88000</v>
      </c>
      <c r="Q483" s="138">
        <v>88000</v>
      </c>
      <c r="R483" s="138">
        <v>88000</v>
      </c>
      <c r="S483" s="139">
        <v>88000</v>
      </c>
      <c r="T483" s="322">
        <f t="shared" si="101"/>
        <v>20252.03</v>
      </c>
      <c r="U483" s="140">
        <f t="shared" si="102"/>
        <v>0.29893190895609123</v>
      </c>
      <c r="V483" s="322">
        <f t="shared" si="98"/>
        <v>17000</v>
      </c>
      <c r="W483" s="140">
        <f t="shared" si="103"/>
        <v>0.23943661971830985</v>
      </c>
      <c r="X483" s="322">
        <f t="shared" si="104"/>
        <v>0</v>
      </c>
      <c r="Y483" s="140">
        <f t="shared" si="105"/>
        <v>0</v>
      </c>
      <c r="Z483" s="519">
        <v>63233.56</v>
      </c>
      <c r="AA483" s="111">
        <f t="shared" si="99"/>
        <v>84311.41333333333</v>
      </c>
      <c r="AB483" s="111">
        <f t="shared" si="100"/>
        <v>3688.5866666666698</v>
      </c>
    </row>
    <row r="484" spans="1:28" ht="31.5">
      <c r="A484" s="116" t="s">
        <v>3221</v>
      </c>
      <c r="B484" s="126" t="s">
        <v>1561</v>
      </c>
      <c r="C484" s="98" t="s">
        <v>3189</v>
      </c>
      <c r="D484" s="98" t="s">
        <v>2833</v>
      </c>
      <c r="E484" s="540" t="s">
        <v>4159</v>
      </c>
      <c r="F484" s="540" t="s">
        <v>4160</v>
      </c>
      <c r="G484" s="555" t="s">
        <v>1452</v>
      </c>
      <c r="H484" s="555" t="s">
        <v>3421</v>
      </c>
      <c r="I484" s="556" t="s">
        <v>4135</v>
      </c>
      <c r="J484" s="557" t="s">
        <v>208</v>
      </c>
      <c r="K484" s="558" t="s">
        <v>2887</v>
      </c>
      <c r="L484" s="95"/>
      <c r="M484" s="104"/>
      <c r="N484" s="137">
        <v>7113.19</v>
      </c>
      <c r="O484" s="138">
        <v>12000</v>
      </c>
      <c r="P484" s="138">
        <v>0</v>
      </c>
      <c r="Q484" s="138">
        <v>0</v>
      </c>
      <c r="R484" s="138">
        <v>0</v>
      </c>
      <c r="S484" s="139">
        <v>0</v>
      </c>
      <c r="T484" s="322">
        <f t="shared" si="101"/>
        <v>-7113.19</v>
      </c>
      <c r="U484" s="140">
        <f t="shared" si="102"/>
        <v>-1</v>
      </c>
      <c r="V484" s="322">
        <f t="shared" si="98"/>
        <v>-12000</v>
      </c>
      <c r="W484" s="140">
        <f t="shared" si="103"/>
        <v>-1</v>
      </c>
      <c r="X484" s="322">
        <f t="shared" si="104"/>
        <v>0</v>
      </c>
      <c r="Y484" s="140" t="str">
        <f t="shared" si="105"/>
        <v/>
      </c>
      <c r="Z484" s="519">
        <v>0</v>
      </c>
      <c r="AA484" s="111">
        <f t="shared" si="99"/>
        <v>0</v>
      </c>
      <c r="AB484" s="111">
        <f t="shared" si="100"/>
        <v>0</v>
      </c>
    </row>
    <row r="485" spans="1:28" ht="36.75" customHeight="1">
      <c r="A485" s="116" t="s">
        <v>1580</v>
      </c>
      <c r="B485" s="126" t="s">
        <v>1561</v>
      </c>
      <c r="C485" s="98" t="s">
        <v>3189</v>
      </c>
      <c r="D485" s="98" t="s">
        <v>3193</v>
      </c>
      <c r="E485" s="540" t="s">
        <v>4161</v>
      </c>
      <c r="F485" s="540" t="s">
        <v>5483</v>
      </c>
      <c r="G485" s="555" t="s">
        <v>1458</v>
      </c>
      <c r="H485" s="555" t="s">
        <v>3215</v>
      </c>
      <c r="I485" s="556" t="s">
        <v>4142</v>
      </c>
      <c r="J485" s="557" t="s">
        <v>2888</v>
      </c>
      <c r="K485" s="558" t="s">
        <v>2889</v>
      </c>
      <c r="L485" s="95"/>
      <c r="M485" s="104"/>
      <c r="N485" s="137">
        <v>45470.8</v>
      </c>
      <c r="O485" s="138">
        <v>46000</v>
      </c>
      <c r="P485" s="138">
        <v>55000</v>
      </c>
      <c r="Q485" s="138">
        <v>55000</v>
      </c>
      <c r="R485" s="138">
        <v>55000</v>
      </c>
      <c r="S485" s="139">
        <v>5000</v>
      </c>
      <c r="T485" s="322">
        <f t="shared" si="101"/>
        <v>9529.1999999999971</v>
      </c>
      <c r="U485" s="140">
        <f t="shared" si="102"/>
        <v>0.20956745867677712</v>
      </c>
      <c r="V485" s="322">
        <f t="shared" si="98"/>
        <v>9000</v>
      </c>
      <c r="W485" s="140">
        <f t="shared" si="103"/>
        <v>0.19565217391304349</v>
      </c>
      <c r="X485" s="322">
        <f t="shared" si="104"/>
        <v>0</v>
      </c>
      <c r="Y485" s="140">
        <f t="shared" si="105"/>
        <v>0</v>
      </c>
      <c r="Z485" s="519">
        <v>44990.810000000005</v>
      </c>
      <c r="AA485" s="111">
        <f t="shared" si="99"/>
        <v>59987.746666666673</v>
      </c>
      <c r="AB485" s="111">
        <f t="shared" si="100"/>
        <v>-4987.7466666666733</v>
      </c>
    </row>
    <row r="486" spans="1:28" ht="36.75" customHeight="1">
      <c r="A486" s="116" t="s">
        <v>3222</v>
      </c>
      <c r="B486" s="126" t="s">
        <v>1561</v>
      </c>
      <c r="C486" s="98" t="s">
        <v>3189</v>
      </c>
      <c r="D486" s="98" t="s">
        <v>1397</v>
      </c>
      <c r="E486" s="540" t="s">
        <v>4162</v>
      </c>
      <c r="F486" s="540" t="s">
        <v>5484</v>
      </c>
      <c r="G486" s="555" t="s">
        <v>1460</v>
      </c>
      <c r="H486" s="555" t="s">
        <v>3217</v>
      </c>
      <c r="I486" s="556" t="s">
        <v>4144</v>
      </c>
      <c r="J486" s="557" t="s">
        <v>2888</v>
      </c>
      <c r="K486" s="558" t="s">
        <v>2889</v>
      </c>
      <c r="L486" s="95"/>
      <c r="M486" s="104"/>
      <c r="N486" s="137">
        <v>0</v>
      </c>
      <c r="O486" s="138">
        <v>0</v>
      </c>
      <c r="P486" s="138">
        <v>9000</v>
      </c>
      <c r="Q486" s="138">
        <v>13000</v>
      </c>
      <c r="R486" s="138">
        <v>13000</v>
      </c>
      <c r="S486" s="139">
        <v>13000</v>
      </c>
      <c r="T486" s="322">
        <f t="shared" si="101"/>
        <v>13000</v>
      </c>
      <c r="U486" s="140" t="str">
        <f t="shared" si="102"/>
        <v/>
      </c>
      <c r="V486" s="322">
        <f t="shared" si="98"/>
        <v>13000</v>
      </c>
      <c r="W486" s="140" t="str">
        <f t="shared" si="103"/>
        <v/>
      </c>
      <c r="X486" s="322">
        <f t="shared" si="104"/>
        <v>4000</v>
      </c>
      <c r="Y486" s="140">
        <f t="shared" si="105"/>
        <v>0.44444444444444442</v>
      </c>
      <c r="Z486" s="519">
        <v>5188.2400000000007</v>
      </c>
      <c r="AA486" s="111">
        <f t="shared" si="99"/>
        <v>6917.6533333333346</v>
      </c>
      <c r="AB486" s="111">
        <f t="shared" si="100"/>
        <v>2082.3466666666654</v>
      </c>
    </row>
    <row r="487" spans="1:28" ht="25.5" customHeight="1">
      <c r="A487" s="115" t="s">
        <v>1581</v>
      </c>
      <c r="B487" s="124" t="s">
        <v>1561</v>
      </c>
      <c r="C487" s="101" t="s">
        <v>3194</v>
      </c>
      <c r="D487" s="101" t="s">
        <v>3185</v>
      </c>
      <c r="E487" s="554" t="s">
        <v>789</v>
      </c>
      <c r="F487" s="534" t="s">
        <v>788</v>
      </c>
      <c r="G487" s="555"/>
      <c r="H487" s="555"/>
      <c r="I487" s="556"/>
      <c r="J487" s="557"/>
      <c r="K487" s="558"/>
      <c r="L487" s="95"/>
      <c r="M487" s="104"/>
      <c r="N487" s="137">
        <v>0</v>
      </c>
      <c r="O487" s="138">
        <v>0</v>
      </c>
      <c r="P487" s="138">
        <v>0</v>
      </c>
      <c r="Q487" s="138">
        <v>0</v>
      </c>
      <c r="R487" s="138">
        <v>0</v>
      </c>
      <c r="S487" s="139">
        <v>0</v>
      </c>
      <c r="T487" s="322">
        <f t="shared" si="101"/>
        <v>0</v>
      </c>
      <c r="U487" s="140" t="str">
        <f t="shared" si="102"/>
        <v/>
      </c>
      <c r="V487" s="322">
        <f t="shared" si="98"/>
        <v>0</v>
      </c>
      <c r="W487" s="140" t="str">
        <f t="shared" si="103"/>
        <v/>
      </c>
      <c r="X487" s="322">
        <f t="shared" si="104"/>
        <v>0</v>
      </c>
      <c r="Y487" s="140" t="str">
        <f t="shared" si="105"/>
        <v/>
      </c>
      <c r="Z487" s="519">
        <v>0</v>
      </c>
      <c r="AA487" s="111">
        <f t="shared" si="99"/>
        <v>0</v>
      </c>
      <c r="AB487" s="111">
        <f t="shared" si="100"/>
        <v>0</v>
      </c>
    </row>
    <row r="488" spans="1:28" ht="25.5" customHeight="1">
      <c r="A488" s="114" t="s">
        <v>790</v>
      </c>
      <c r="B488" s="125" t="s">
        <v>1561</v>
      </c>
      <c r="C488" s="97" t="s">
        <v>3194</v>
      </c>
      <c r="D488" s="97" t="s">
        <v>3183</v>
      </c>
      <c r="E488" s="540" t="s">
        <v>4163</v>
      </c>
      <c r="F488" s="540" t="s">
        <v>4164</v>
      </c>
      <c r="G488" s="555" t="s">
        <v>1450</v>
      </c>
      <c r="H488" s="555" t="s">
        <v>3419</v>
      </c>
      <c r="I488" s="556" t="s">
        <v>4132</v>
      </c>
      <c r="J488" s="557" t="s">
        <v>208</v>
      </c>
      <c r="K488" s="558" t="s">
        <v>2887</v>
      </c>
      <c r="L488" s="95"/>
      <c r="M488" s="104"/>
      <c r="N488" s="137">
        <v>271269.48</v>
      </c>
      <c r="O488" s="138">
        <v>270000</v>
      </c>
      <c r="P488" s="138">
        <v>307000</v>
      </c>
      <c r="Q488" s="138">
        <v>302000</v>
      </c>
      <c r="R488" s="138">
        <v>302000</v>
      </c>
      <c r="S488" s="139">
        <v>304000</v>
      </c>
      <c r="T488" s="322">
        <f t="shared" si="101"/>
        <v>30730.520000000019</v>
      </c>
      <c r="U488" s="140">
        <f t="shared" si="102"/>
        <v>0.11328410405770682</v>
      </c>
      <c r="V488" s="322">
        <f t="shared" si="98"/>
        <v>32000</v>
      </c>
      <c r="W488" s="140">
        <f t="shared" si="103"/>
        <v>0.11851851851851852</v>
      </c>
      <c r="X488" s="322">
        <f t="shared" si="104"/>
        <v>-5000</v>
      </c>
      <c r="Y488" s="140">
        <f t="shared" si="105"/>
        <v>-1.6286644951140065E-2</v>
      </c>
      <c r="Z488" s="519">
        <v>230681.4</v>
      </c>
      <c r="AA488" s="111">
        <f t="shared" si="99"/>
        <v>307575.2</v>
      </c>
      <c r="AB488" s="111">
        <f t="shared" si="100"/>
        <v>-575.20000000001164</v>
      </c>
    </row>
    <row r="489" spans="1:28" ht="25.5" customHeight="1">
      <c r="A489" s="114" t="s">
        <v>3223</v>
      </c>
      <c r="B489" s="125" t="s">
        <v>1561</v>
      </c>
      <c r="C489" s="97" t="s">
        <v>3194</v>
      </c>
      <c r="D489" s="97" t="s">
        <v>2833</v>
      </c>
      <c r="E489" s="540" t="s">
        <v>4165</v>
      </c>
      <c r="F489" s="540" t="s">
        <v>4166</v>
      </c>
      <c r="G489" s="555" t="s">
        <v>1452</v>
      </c>
      <c r="H489" s="555" t="s">
        <v>3421</v>
      </c>
      <c r="I489" s="556" t="s">
        <v>4135</v>
      </c>
      <c r="J489" s="557" t="s">
        <v>208</v>
      </c>
      <c r="K489" s="558" t="s">
        <v>2887</v>
      </c>
      <c r="L489" s="95"/>
      <c r="M489" s="104"/>
      <c r="N489" s="137">
        <v>20120.98</v>
      </c>
      <c r="O489" s="138">
        <v>40000</v>
      </c>
      <c r="P489" s="138">
        <v>0</v>
      </c>
      <c r="Q489" s="138">
        <v>0</v>
      </c>
      <c r="R489" s="138">
        <v>0</v>
      </c>
      <c r="S489" s="139">
        <v>0</v>
      </c>
      <c r="T489" s="322">
        <f t="shared" si="101"/>
        <v>-20120.98</v>
      </c>
      <c r="U489" s="140">
        <f t="shared" si="102"/>
        <v>-1</v>
      </c>
      <c r="V489" s="322">
        <f t="shared" si="98"/>
        <v>-40000</v>
      </c>
      <c r="W489" s="140">
        <f t="shared" si="103"/>
        <v>-1</v>
      </c>
      <c r="X489" s="322">
        <f t="shared" si="104"/>
        <v>0</v>
      </c>
      <c r="Y489" s="140" t="str">
        <f t="shared" si="105"/>
        <v/>
      </c>
      <c r="Z489" s="519">
        <v>0</v>
      </c>
      <c r="AA489" s="111">
        <f t="shared" si="99"/>
        <v>0</v>
      </c>
      <c r="AB489" s="111">
        <f t="shared" si="100"/>
        <v>0</v>
      </c>
    </row>
    <row r="490" spans="1:28" ht="25.5" customHeight="1">
      <c r="A490" s="114" t="s">
        <v>791</v>
      </c>
      <c r="B490" s="125" t="s">
        <v>1561</v>
      </c>
      <c r="C490" s="97" t="s">
        <v>3194</v>
      </c>
      <c r="D490" s="97" t="s">
        <v>3193</v>
      </c>
      <c r="E490" s="540" t="s">
        <v>4167</v>
      </c>
      <c r="F490" s="540" t="s">
        <v>5485</v>
      </c>
      <c r="G490" s="555" t="s">
        <v>1458</v>
      </c>
      <c r="H490" s="555" t="s">
        <v>3215</v>
      </c>
      <c r="I490" s="556" t="s">
        <v>4142</v>
      </c>
      <c r="J490" s="557" t="s">
        <v>2888</v>
      </c>
      <c r="K490" s="558" t="s">
        <v>2889</v>
      </c>
      <c r="L490" s="95"/>
      <c r="M490" s="104"/>
      <c r="N490" s="137">
        <v>243356.51</v>
      </c>
      <c r="O490" s="138">
        <v>234000</v>
      </c>
      <c r="P490" s="138">
        <v>306000</v>
      </c>
      <c r="Q490" s="138">
        <v>335000</v>
      </c>
      <c r="R490" s="138">
        <v>416000</v>
      </c>
      <c r="S490" s="139">
        <v>418000</v>
      </c>
      <c r="T490" s="322">
        <f t="shared" si="101"/>
        <v>91643.489999999991</v>
      </c>
      <c r="U490" s="140">
        <f t="shared" si="102"/>
        <v>0.37658121412079748</v>
      </c>
      <c r="V490" s="322">
        <f t="shared" si="98"/>
        <v>101000</v>
      </c>
      <c r="W490" s="140">
        <f t="shared" si="103"/>
        <v>0.43162393162393164</v>
      </c>
      <c r="X490" s="322">
        <f t="shared" si="104"/>
        <v>29000</v>
      </c>
      <c r="Y490" s="140">
        <f t="shared" si="105"/>
        <v>9.4771241830065356E-2</v>
      </c>
      <c r="Z490" s="519">
        <v>229848.24</v>
      </c>
      <c r="AA490" s="111">
        <f t="shared" si="99"/>
        <v>306464.32</v>
      </c>
      <c r="AB490" s="111">
        <f t="shared" si="100"/>
        <v>-464.32000000000698</v>
      </c>
    </row>
    <row r="491" spans="1:28" ht="25.5" customHeight="1">
      <c r="A491" s="114" t="s">
        <v>3224</v>
      </c>
      <c r="B491" s="125" t="s">
        <v>1561</v>
      </c>
      <c r="C491" s="97" t="s">
        <v>3194</v>
      </c>
      <c r="D491" s="97" t="s">
        <v>1397</v>
      </c>
      <c r="E491" s="540" t="s">
        <v>4168</v>
      </c>
      <c r="F491" s="540" t="s">
        <v>5486</v>
      </c>
      <c r="G491" s="555" t="s">
        <v>1460</v>
      </c>
      <c r="H491" s="555" t="s">
        <v>3217</v>
      </c>
      <c r="I491" s="556" t="s">
        <v>4144</v>
      </c>
      <c r="J491" s="557" t="s">
        <v>2888</v>
      </c>
      <c r="K491" s="558" t="s">
        <v>2889</v>
      </c>
      <c r="L491" s="95"/>
      <c r="M491" s="104"/>
      <c r="N491" s="137">
        <v>46439.28</v>
      </c>
      <c r="O491" s="138">
        <v>37000</v>
      </c>
      <c r="P491" s="138">
        <v>48000</v>
      </c>
      <c r="Q491" s="138">
        <v>108000</v>
      </c>
      <c r="R491" s="138">
        <v>108000</v>
      </c>
      <c r="S491" s="139">
        <v>108000</v>
      </c>
      <c r="T491" s="322">
        <f t="shared" si="101"/>
        <v>61560.72</v>
      </c>
      <c r="U491" s="140">
        <f t="shared" si="102"/>
        <v>1.3256174514333556</v>
      </c>
      <c r="V491" s="322">
        <f t="shared" si="98"/>
        <v>71000</v>
      </c>
      <c r="W491" s="140">
        <f t="shared" si="103"/>
        <v>1.9189189189189189</v>
      </c>
      <c r="X491" s="322">
        <f t="shared" si="104"/>
        <v>60000</v>
      </c>
      <c r="Y491" s="140">
        <f t="shared" si="105"/>
        <v>1.25</v>
      </c>
      <c r="Z491" s="519">
        <v>35574.58</v>
      </c>
      <c r="AA491" s="111">
        <f t="shared" si="99"/>
        <v>47432.773333333338</v>
      </c>
      <c r="AB491" s="111">
        <f t="shared" si="100"/>
        <v>567.22666666666191</v>
      </c>
    </row>
    <row r="492" spans="1:28" ht="36.75" customHeight="1">
      <c r="A492" s="114" t="s">
        <v>792</v>
      </c>
      <c r="B492" s="125" t="s">
        <v>1561</v>
      </c>
      <c r="C492" s="97" t="s">
        <v>3194</v>
      </c>
      <c r="D492" s="97" t="s">
        <v>2631</v>
      </c>
      <c r="E492" s="540" t="s">
        <v>4169</v>
      </c>
      <c r="F492" s="540" t="s">
        <v>4170</v>
      </c>
      <c r="G492" s="555" t="s">
        <v>1450</v>
      </c>
      <c r="H492" s="555" t="s">
        <v>3419</v>
      </c>
      <c r="I492" s="556" t="s">
        <v>4132</v>
      </c>
      <c r="J492" s="557" t="s">
        <v>208</v>
      </c>
      <c r="K492" s="558" t="s">
        <v>2887</v>
      </c>
      <c r="L492" s="95"/>
      <c r="M492" s="104"/>
      <c r="N492" s="137">
        <v>0</v>
      </c>
      <c r="O492" s="138">
        <v>0</v>
      </c>
      <c r="P492" s="138">
        <v>0</v>
      </c>
      <c r="Q492" s="138">
        <v>0</v>
      </c>
      <c r="R492" s="138">
        <v>0</v>
      </c>
      <c r="S492" s="139">
        <v>0</v>
      </c>
      <c r="T492" s="322">
        <f t="shared" si="101"/>
        <v>0</v>
      </c>
      <c r="U492" s="140" t="str">
        <f t="shared" si="102"/>
        <v/>
      </c>
      <c r="V492" s="322">
        <f t="shared" si="98"/>
        <v>0</v>
      </c>
      <c r="W492" s="140" t="str">
        <f t="shared" si="103"/>
        <v/>
      </c>
      <c r="X492" s="322">
        <f t="shared" si="104"/>
        <v>0</v>
      </c>
      <c r="Y492" s="140" t="str">
        <f t="shared" si="105"/>
        <v/>
      </c>
      <c r="Z492" s="519">
        <v>0</v>
      </c>
      <c r="AA492" s="111">
        <f t="shared" si="99"/>
        <v>0</v>
      </c>
      <c r="AB492" s="111">
        <f t="shared" si="100"/>
        <v>0</v>
      </c>
    </row>
    <row r="493" spans="1:28" ht="36.75" customHeight="1">
      <c r="A493" s="114" t="s">
        <v>3225</v>
      </c>
      <c r="B493" s="125" t="s">
        <v>1561</v>
      </c>
      <c r="C493" s="97" t="s">
        <v>3194</v>
      </c>
      <c r="D493" s="97" t="s">
        <v>2834</v>
      </c>
      <c r="E493" s="540" t="s">
        <v>4171</v>
      </c>
      <c r="F493" s="540" t="s">
        <v>4172</v>
      </c>
      <c r="G493" s="555" t="s">
        <v>1452</v>
      </c>
      <c r="H493" s="555" t="s">
        <v>3421</v>
      </c>
      <c r="I493" s="556" t="s">
        <v>4135</v>
      </c>
      <c r="J493" s="557" t="s">
        <v>208</v>
      </c>
      <c r="K493" s="558" t="s">
        <v>2887</v>
      </c>
      <c r="L493" s="95"/>
      <c r="M493" s="104"/>
      <c r="N493" s="137">
        <v>0</v>
      </c>
      <c r="O493" s="138">
        <v>0</v>
      </c>
      <c r="P493" s="138">
        <v>0</v>
      </c>
      <c r="Q493" s="138">
        <v>0</v>
      </c>
      <c r="R493" s="138">
        <v>0</v>
      </c>
      <c r="S493" s="139">
        <v>0</v>
      </c>
      <c r="T493" s="322">
        <f t="shared" si="101"/>
        <v>0</v>
      </c>
      <c r="U493" s="140" t="str">
        <f t="shared" si="102"/>
        <v/>
      </c>
      <c r="V493" s="322">
        <f t="shared" si="98"/>
        <v>0</v>
      </c>
      <c r="W493" s="140" t="str">
        <f t="shared" si="103"/>
        <v/>
      </c>
      <c r="X493" s="322">
        <f t="shared" si="104"/>
        <v>0</v>
      </c>
      <c r="Y493" s="140" t="str">
        <f t="shared" si="105"/>
        <v/>
      </c>
      <c r="Z493" s="519">
        <v>0</v>
      </c>
      <c r="AA493" s="111">
        <f t="shared" si="99"/>
        <v>0</v>
      </c>
      <c r="AB493" s="111">
        <f t="shared" si="100"/>
        <v>0</v>
      </c>
    </row>
    <row r="494" spans="1:28" ht="36.75" customHeight="1">
      <c r="A494" s="114" t="s">
        <v>793</v>
      </c>
      <c r="B494" s="125" t="s">
        <v>1561</v>
      </c>
      <c r="C494" s="97" t="s">
        <v>3194</v>
      </c>
      <c r="D494" s="97" t="s">
        <v>1404</v>
      </c>
      <c r="E494" s="540" t="s">
        <v>4173</v>
      </c>
      <c r="F494" s="540" t="s">
        <v>5487</v>
      </c>
      <c r="G494" s="555" t="s">
        <v>1458</v>
      </c>
      <c r="H494" s="555" t="s">
        <v>3215</v>
      </c>
      <c r="I494" s="556" t="s">
        <v>4142</v>
      </c>
      <c r="J494" s="557" t="s">
        <v>2888</v>
      </c>
      <c r="K494" s="558" t="s">
        <v>2889</v>
      </c>
      <c r="L494" s="95"/>
      <c r="M494" s="104"/>
      <c r="N494" s="137">
        <v>0</v>
      </c>
      <c r="O494" s="138">
        <v>0</v>
      </c>
      <c r="P494" s="138">
        <v>0</v>
      </c>
      <c r="Q494" s="138">
        <v>0</v>
      </c>
      <c r="R494" s="138">
        <v>0</v>
      </c>
      <c r="S494" s="139">
        <v>0</v>
      </c>
      <c r="T494" s="322">
        <f t="shared" si="101"/>
        <v>0</v>
      </c>
      <c r="U494" s="140" t="str">
        <f t="shared" si="102"/>
        <v/>
      </c>
      <c r="V494" s="322">
        <f t="shared" si="98"/>
        <v>0</v>
      </c>
      <c r="W494" s="140" t="str">
        <f t="shared" si="103"/>
        <v/>
      </c>
      <c r="X494" s="322">
        <f t="shared" si="104"/>
        <v>0</v>
      </c>
      <c r="Y494" s="140" t="str">
        <f t="shared" si="105"/>
        <v/>
      </c>
      <c r="Z494" s="519">
        <v>0</v>
      </c>
      <c r="AA494" s="111">
        <f t="shared" si="99"/>
        <v>0</v>
      </c>
      <c r="AB494" s="111">
        <f t="shared" si="100"/>
        <v>0</v>
      </c>
    </row>
    <row r="495" spans="1:28" ht="36.75" customHeight="1">
      <c r="A495" s="114" t="s">
        <v>3226</v>
      </c>
      <c r="B495" s="125" t="s">
        <v>1561</v>
      </c>
      <c r="C495" s="97" t="s">
        <v>3194</v>
      </c>
      <c r="D495" s="97" t="s">
        <v>1372</v>
      </c>
      <c r="E495" s="540" t="s">
        <v>4174</v>
      </c>
      <c r="F495" s="540" t="s">
        <v>5488</v>
      </c>
      <c r="G495" s="555" t="s">
        <v>1460</v>
      </c>
      <c r="H495" s="555" t="s">
        <v>3217</v>
      </c>
      <c r="I495" s="556" t="s">
        <v>4144</v>
      </c>
      <c r="J495" s="557" t="s">
        <v>2888</v>
      </c>
      <c r="K495" s="558" t="s">
        <v>2889</v>
      </c>
      <c r="L495" s="95"/>
      <c r="M495" s="104"/>
      <c r="N495" s="137">
        <v>0</v>
      </c>
      <c r="O495" s="138">
        <v>0</v>
      </c>
      <c r="P495" s="138">
        <v>0</v>
      </c>
      <c r="Q495" s="138">
        <v>0</v>
      </c>
      <c r="R495" s="138">
        <v>0</v>
      </c>
      <c r="S495" s="139">
        <v>0</v>
      </c>
      <c r="T495" s="322">
        <f t="shared" si="101"/>
        <v>0</v>
      </c>
      <c r="U495" s="140" t="str">
        <f t="shared" si="102"/>
        <v/>
      </c>
      <c r="V495" s="322">
        <f t="shared" si="98"/>
        <v>0</v>
      </c>
      <c r="W495" s="140" t="str">
        <f t="shared" si="103"/>
        <v/>
      </c>
      <c r="X495" s="322">
        <f t="shared" si="104"/>
        <v>0</v>
      </c>
      <c r="Y495" s="140" t="str">
        <f t="shared" si="105"/>
        <v/>
      </c>
      <c r="Z495" s="519">
        <v>0</v>
      </c>
      <c r="AA495" s="111">
        <f t="shared" si="99"/>
        <v>0</v>
      </c>
      <c r="AB495" s="111">
        <f t="shared" si="100"/>
        <v>0</v>
      </c>
    </row>
    <row r="496" spans="1:28" ht="36.75" customHeight="1">
      <c r="A496" s="115" t="s">
        <v>794</v>
      </c>
      <c r="B496" s="124" t="s">
        <v>1561</v>
      </c>
      <c r="C496" s="101" t="s">
        <v>2629</v>
      </c>
      <c r="D496" s="101" t="s">
        <v>3185</v>
      </c>
      <c r="E496" s="554" t="s">
        <v>4175</v>
      </c>
      <c r="F496" s="554" t="s">
        <v>4176</v>
      </c>
      <c r="G496" s="555"/>
      <c r="H496" s="555"/>
      <c r="I496" s="556"/>
      <c r="J496" s="557"/>
      <c r="K496" s="558"/>
      <c r="L496" s="95"/>
      <c r="M496" s="104"/>
      <c r="N496" s="137">
        <v>0</v>
      </c>
      <c r="O496" s="138">
        <v>0</v>
      </c>
      <c r="P496" s="138">
        <v>0</v>
      </c>
      <c r="Q496" s="138">
        <v>0</v>
      </c>
      <c r="R496" s="138">
        <v>0</v>
      </c>
      <c r="S496" s="139">
        <v>0</v>
      </c>
      <c r="T496" s="322">
        <f t="shared" si="101"/>
        <v>0</v>
      </c>
      <c r="U496" s="140" t="str">
        <f t="shared" si="102"/>
        <v/>
      </c>
      <c r="V496" s="322">
        <f t="shared" si="98"/>
        <v>0</v>
      </c>
      <c r="W496" s="140" t="str">
        <f t="shared" si="103"/>
        <v/>
      </c>
      <c r="X496" s="322">
        <f t="shared" si="104"/>
        <v>0</v>
      </c>
      <c r="Y496" s="140" t="str">
        <f t="shared" si="105"/>
        <v/>
      </c>
      <c r="Z496" s="519">
        <v>0</v>
      </c>
      <c r="AA496" s="111">
        <f t="shared" si="99"/>
        <v>0</v>
      </c>
      <c r="AB496" s="111">
        <f t="shared" si="100"/>
        <v>0</v>
      </c>
    </row>
    <row r="497" spans="1:28" ht="36.75" customHeight="1">
      <c r="A497" s="116" t="s">
        <v>2271</v>
      </c>
      <c r="B497" s="126" t="s">
        <v>1561</v>
      </c>
      <c r="C497" s="98" t="s">
        <v>2629</v>
      </c>
      <c r="D497" s="98" t="s">
        <v>3183</v>
      </c>
      <c r="E497" s="540" t="s">
        <v>4177</v>
      </c>
      <c r="F497" s="540" t="s">
        <v>5489</v>
      </c>
      <c r="G497" s="555" t="s">
        <v>1450</v>
      </c>
      <c r="H497" s="555" t="s">
        <v>3419</v>
      </c>
      <c r="I497" s="556" t="s">
        <v>4132</v>
      </c>
      <c r="J497" s="557" t="s">
        <v>208</v>
      </c>
      <c r="K497" s="558" t="s">
        <v>2887</v>
      </c>
      <c r="L497" s="95"/>
      <c r="M497" s="104"/>
      <c r="N497" s="137">
        <v>32044.26</v>
      </c>
      <c r="O497" s="138">
        <v>23000</v>
      </c>
      <c r="P497" s="138">
        <v>25000</v>
      </c>
      <c r="Q497" s="138">
        <v>25000</v>
      </c>
      <c r="R497" s="138">
        <v>25000</v>
      </c>
      <c r="S497" s="139">
        <v>25000</v>
      </c>
      <c r="T497" s="322">
        <f t="shared" si="101"/>
        <v>-7044.2599999999984</v>
      </c>
      <c r="U497" s="140">
        <f t="shared" si="102"/>
        <v>-0.21982907391214523</v>
      </c>
      <c r="V497" s="322">
        <f t="shared" si="98"/>
        <v>2000</v>
      </c>
      <c r="W497" s="140">
        <f t="shared" si="103"/>
        <v>8.6956521739130432E-2</v>
      </c>
      <c r="X497" s="322">
        <f t="shared" si="104"/>
        <v>0</v>
      </c>
      <c r="Y497" s="140">
        <f t="shared" si="105"/>
        <v>0</v>
      </c>
      <c r="Z497" s="519">
        <v>19000</v>
      </c>
      <c r="AA497" s="111">
        <f t="shared" si="99"/>
        <v>25333.333333333332</v>
      </c>
      <c r="AB497" s="111">
        <f t="shared" si="100"/>
        <v>-333.33333333333212</v>
      </c>
    </row>
    <row r="498" spans="1:28" ht="36.75" customHeight="1">
      <c r="A498" s="116" t="s">
        <v>2670</v>
      </c>
      <c r="B498" s="126" t="s">
        <v>1561</v>
      </c>
      <c r="C498" s="98" t="s">
        <v>2629</v>
      </c>
      <c r="D498" s="98" t="s">
        <v>2833</v>
      </c>
      <c r="E498" s="540" t="s">
        <v>4178</v>
      </c>
      <c r="F498" s="540" t="s">
        <v>5490</v>
      </c>
      <c r="G498" s="555" t="s">
        <v>1452</v>
      </c>
      <c r="H498" s="555" t="s">
        <v>3421</v>
      </c>
      <c r="I498" s="556" t="s">
        <v>4135</v>
      </c>
      <c r="J498" s="557" t="s">
        <v>208</v>
      </c>
      <c r="K498" s="558" t="s">
        <v>2887</v>
      </c>
      <c r="L498" s="95"/>
      <c r="M498" s="104"/>
      <c r="N498" s="137">
        <v>0</v>
      </c>
      <c r="O498" s="138">
        <v>6000</v>
      </c>
      <c r="P498" s="138">
        <v>6000</v>
      </c>
      <c r="Q498" s="138">
        <v>6000</v>
      </c>
      <c r="R498" s="138">
        <v>6000</v>
      </c>
      <c r="S498" s="139">
        <v>6000</v>
      </c>
      <c r="T498" s="322">
        <f t="shared" si="101"/>
        <v>6000</v>
      </c>
      <c r="U498" s="140" t="str">
        <f t="shared" si="102"/>
        <v/>
      </c>
      <c r="V498" s="322">
        <f t="shared" si="98"/>
        <v>0</v>
      </c>
      <c r="W498" s="140">
        <f t="shared" si="103"/>
        <v>0</v>
      </c>
      <c r="X498" s="322">
        <f t="shared" si="104"/>
        <v>0</v>
      </c>
      <c r="Y498" s="140">
        <f t="shared" si="105"/>
        <v>0</v>
      </c>
      <c r="Z498" s="519">
        <v>5000</v>
      </c>
      <c r="AA498" s="111">
        <f t="shared" si="99"/>
        <v>6666.666666666667</v>
      </c>
      <c r="AB498" s="111">
        <f t="shared" si="100"/>
        <v>-666.66666666666697</v>
      </c>
    </row>
    <row r="499" spans="1:28" ht="42">
      <c r="A499" s="114" t="s">
        <v>2272</v>
      </c>
      <c r="B499" s="125" t="s">
        <v>1561</v>
      </c>
      <c r="C499" s="97" t="s">
        <v>2629</v>
      </c>
      <c r="D499" s="97" t="s">
        <v>2138</v>
      </c>
      <c r="E499" s="540" t="s">
        <v>4179</v>
      </c>
      <c r="F499" s="540" t="s">
        <v>5491</v>
      </c>
      <c r="G499" s="555" t="s">
        <v>1458</v>
      </c>
      <c r="H499" s="555" t="s">
        <v>3215</v>
      </c>
      <c r="I499" s="556" t="s">
        <v>4142</v>
      </c>
      <c r="J499" s="557" t="s">
        <v>2888</v>
      </c>
      <c r="K499" s="558" t="s">
        <v>2889</v>
      </c>
      <c r="L499" s="95"/>
      <c r="M499" s="104"/>
      <c r="N499" s="137">
        <v>20257.330000000002</v>
      </c>
      <c r="O499" s="138">
        <v>13000</v>
      </c>
      <c r="P499" s="138">
        <v>22000</v>
      </c>
      <c r="Q499" s="138">
        <v>22000</v>
      </c>
      <c r="R499" s="138">
        <v>22000</v>
      </c>
      <c r="S499" s="139">
        <v>22000</v>
      </c>
      <c r="T499" s="322">
        <f t="shared" si="101"/>
        <v>1742.6699999999983</v>
      </c>
      <c r="U499" s="140">
        <f t="shared" si="102"/>
        <v>8.6026638258842505E-2</v>
      </c>
      <c r="V499" s="322">
        <f t="shared" si="98"/>
        <v>9000</v>
      </c>
      <c r="W499" s="140">
        <f t="shared" si="103"/>
        <v>0.69230769230769229</v>
      </c>
      <c r="X499" s="322">
        <f t="shared" si="104"/>
        <v>0</v>
      </c>
      <c r="Y499" s="140">
        <f t="shared" si="105"/>
        <v>0</v>
      </c>
      <c r="Z499" s="519">
        <v>17000</v>
      </c>
      <c r="AA499" s="111">
        <f t="shared" si="99"/>
        <v>22666.666666666668</v>
      </c>
      <c r="AB499" s="111">
        <f t="shared" si="100"/>
        <v>-666.66666666666788</v>
      </c>
    </row>
    <row r="500" spans="1:28" ht="42">
      <c r="A500" s="114" t="s">
        <v>2671</v>
      </c>
      <c r="B500" s="125" t="s">
        <v>1561</v>
      </c>
      <c r="C500" s="97" t="s">
        <v>2629</v>
      </c>
      <c r="D500" s="97" t="s">
        <v>2468</v>
      </c>
      <c r="E500" s="540" t="s">
        <v>4180</v>
      </c>
      <c r="F500" s="540" t="s">
        <v>5492</v>
      </c>
      <c r="G500" s="555" t="s">
        <v>1460</v>
      </c>
      <c r="H500" s="555" t="s">
        <v>3217</v>
      </c>
      <c r="I500" s="556" t="s">
        <v>4144</v>
      </c>
      <c r="J500" s="557" t="s">
        <v>2888</v>
      </c>
      <c r="K500" s="558" t="s">
        <v>2889</v>
      </c>
      <c r="L500" s="95"/>
      <c r="M500" s="104"/>
      <c r="N500" s="137">
        <v>2668.96</v>
      </c>
      <c r="O500" s="138">
        <v>1000</v>
      </c>
      <c r="P500" s="138">
        <v>2000</v>
      </c>
      <c r="Q500" s="138">
        <v>2000</v>
      </c>
      <c r="R500" s="138">
        <v>2000</v>
      </c>
      <c r="S500" s="139">
        <v>2000</v>
      </c>
      <c r="T500" s="322">
        <f t="shared" si="101"/>
        <v>-668.96</v>
      </c>
      <c r="U500" s="140">
        <f t="shared" si="102"/>
        <v>-0.25064444577663209</v>
      </c>
      <c r="V500" s="322">
        <f t="shared" si="98"/>
        <v>1000</v>
      </c>
      <c r="W500" s="140">
        <f t="shared" si="103"/>
        <v>1</v>
      </c>
      <c r="X500" s="322">
        <f t="shared" si="104"/>
        <v>0</v>
      </c>
      <c r="Y500" s="140">
        <f t="shared" si="105"/>
        <v>0</v>
      </c>
      <c r="Z500" s="519">
        <v>2000</v>
      </c>
      <c r="AA500" s="111">
        <f t="shared" si="99"/>
        <v>2666.6666666666665</v>
      </c>
      <c r="AB500" s="111">
        <f t="shared" si="100"/>
        <v>-666.66666666666652</v>
      </c>
    </row>
    <row r="501" spans="1:28" ht="36.75" customHeight="1">
      <c r="A501" s="116" t="s">
        <v>2273</v>
      </c>
      <c r="B501" s="126" t="s">
        <v>1561</v>
      </c>
      <c r="C501" s="98" t="s">
        <v>2629</v>
      </c>
      <c r="D501" s="98" t="s">
        <v>3193</v>
      </c>
      <c r="E501" s="540" t="s">
        <v>4181</v>
      </c>
      <c r="F501" s="540" t="s">
        <v>5493</v>
      </c>
      <c r="G501" s="555" t="s">
        <v>1450</v>
      </c>
      <c r="H501" s="555" t="s">
        <v>3419</v>
      </c>
      <c r="I501" s="556" t="s">
        <v>4132</v>
      </c>
      <c r="J501" s="557" t="s">
        <v>208</v>
      </c>
      <c r="K501" s="558" t="s">
        <v>2887</v>
      </c>
      <c r="L501" s="95"/>
      <c r="M501" s="104"/>
      <c r="N501" s="137">
        <v>43783.48</v>
      </c>
      <c r="O501" s="138">
        <v>30000</v>
      </c>
      <c r="P501" s="138">
        <v>44000</v>
      </c>
      <c r="Q501" s="138">
        <v>44000</v>
      </c>
      <c r="R501" s="138">
        <v>44000</v>
      </c>
      <c r="S501" s="139">
        <v>44000</v>
      </c>
      <c r="T501" s="322">
        <f t="shared" si="101"/>
        <v>216.5199999999968</v>
      </c>
      <c r="U501" s="140">
        <f t="shared" si="102"/>
        <v>4.9452441879904658E-3</v>
      </c>
      <c r="V501" s="322">
        <f t="shared" si="98"/>
        <v>14000</v>
      </c>
      <c r="W501" s="140">
        <f t="shared" si="103"/>
        <v>0.46666666666666667</v>
      </c>
      <c r="X501" s="322">
        <f t="shared" si="104"/>
        <v>0</v>
      </c>
      <c r="Y501" s="140">
        <f t="shared" si="105"/>
        <v>0</v>
      </c>
      <c r="Z501" s="519">
        <v>33000</v>
      </c>
      <c r="AA501" s="111">
        <f t="shared" si="99"/>
        <v>44000</v>
      </c>
      <c r="AB501" s="111">
        <f t="shared" si="100"/>
        <v>0</v>
      </c>
    </row>
    <row r="502" spans="1:28" ht="36.75" customHeight="1">
      <c r="A502" s="116" t="s">
        <v>2672</v>
      </c>
      <c r="B502" s="126" t="s">
        <v>1561</v>
      </c>
      <c r="C502" s="98" t="s">
        <v>2629</v>
      </c>
      <c r="D502" s="98" t="s">
        <v>1397</v>
      </c>
      <c r="E502" s="540" t="s">
        <v>4182</v>
      </c>
      <c r="F502" s="540" t="s">
        <v>5494</v>
      </c>
      <c r="G502" s="555" t="s">
        <v>1452</v>
      </c>
      <c r="H502" s="555" t="s">
        <v>3421</v>
      </c>
      <c r="I502" s="556" t="s">
        <v>4135</v>
      </c>
      <c r="J502" s="557" t="s">
        <v>208</v>
      </c>
      <c r="K502" s="558" t="s">
        <v>2887</v>
      </c>
      <c r="L502" s="95"/>
      <c r="M502" s="104"/>
      <c r="N502" s="137">
        <v>0</v>
      </c>
      <c r="O502" s="138">
        <v>10000</v>
      </c>
      <c r="P502" s="138">
        <v>10000</v>
      </c>
      <c r="Q502" s="138">
        <v>10000</v>
      </c>
      <c r="R502" s="138">
        <v>10000</v>
      </c>
      <c r="S502" s="139">
        <v>10000</v>
      </c>
      <c r="T502" s="322">
        <f t="shared" si="101"/>
        <v>10000</v>
      </c>
      <c r="U502" s="140" t="str">
        <f t="shared" si="102"/>
        <v/>
      </c>
      <c r="V502" s="322">
        <f t="shared" si="98"/>
        <v>0</v>
      </c>
      <c r="W502" s="140">
        <f t="shared" si="103"/>
        <v>0</v>
      </c>
      <c r="X502" s="322">
        <f t="shared" si="104"/>
        <v>0</v>
      </c>
      <c r="Y502" s="140">
        <f t="shared" si="105"/>
        <v>0</v>
      </c>
      <c r="Z502" s="519">
        <v>8000</v>
      </c>
      <c r="AA502" s="111">
        <f t="shared" si="99"/>
        <v>10666.666666666666</v>
      </c>
      <c r="AB502" s="111">
        <f t="shared" si="100"/>
        <v>-666.66666666666606</v>
      </c>
    </row>
    <row r="503" spans="1:28" ht="36.75" customHeight="1">
      <c r="A503" s="114" t="s">
        <v>1582</v>
      </c>
      <c r="B503" s="125" t="s">
        <v>1561</v>
      </c>
      <c r="C503" s="97" t="s">
        <v>2629</v>
      </c>
      <c r="D503" s="97" t="s">
        <v>1401</v>
      </c>
      <c r="E503" s="540" t="s">
        <v>4183</v>
      </c>
      <c r="F503" s="540" t="s">
        <v>5495</v>
      </c>
      <c r="G503" s="555" t="s">
        <v>1458</v>
      </c>
      <c r="H503" s="555" t="s">
        <v>3215</v>
      </c>
      <c r="I503" s="556" t="s">
        <v>4142</v>
      </c>
      <c r="J503" s="557" t="s">
        <v>2888</v>
      </c>
      <c r="K503" s="558" t="s">
        <v>2889</v>
      </c>
      <c r="L503" s="95"/>
      <c r="M503" s="104"/>
      <c r="N503" s="137">
        <v>8167.15</v>
      </c>
      <c r="O503" s="138">
        <v>207000</v>
      </c>
      <c r="P503" s="138">
        <v>8000</v>
      </c>
      <c r="Q503" s="138">
        <v>8000</v>
      </c>
      <c r="R503" s="138">
        <v>8000</v>
      </c>
      <c r="S503" s="139">
        <v>8000</v>
      </c>
      <c r="T503" s="322">
        <f t="shared" si="101"/>
        <v>-167.14999999999964</v>
      </c>
      <c r="U503" s="140">
        <f t="shared" si="102"/>
        <v>-2.0466135677684339E-2</v>
      </c>
      <c r="V503" s="322">
        <f t="shared" si="98"/>
        <v>-199000</v>
      </c>
      <c r="W503" s="140">
        <f t="shared" si="103"/>
        <v>-0.96135265700483097</v>
      </c>
      <c r="X503" s="322">
        <f t="shared" si="104"/>
        <v>0</v>
      </c>
      <c r="Y503" s="140">
        <f t="shared" si="105"/>
        <v>0</v>
      </c>
      <c r="Z503" s="519">
        <v>6000</v>
      </c>
      <c r="AA503" s="111">
        <f t="shared" si="99"/>
        <v>8000</v>
      </c>
      <c r="AB503" s="111">
        <f t="shared" si="100"/>
        <v>0</v>
      </c>
    </row>
    <row r="504" spans="1:28" ht="36.75" customHeight="1">
      <c r="A504" s="114" t="s">
        <v>2673</v>
      </c>
      <c r="B504" s="125" t="s">
        <v>1561</v>
      </c>
      <c r="C504" s="97" t="s">
        <v>2629</v>
      </c>
      <c r="D504" s="97" t="s">
        <v>1402</v>
      </c>
      <c r="E504" s="540" t="s">
        <v>4184</v>
      </c>
      <c r="F504" s="540" t="s">
        <v>5496</v>
      </c>
      <c r="G504" s="555" t="s">
        <v>1460</v>
      </c>
      <c r="H504" s="555" t="s">
        <v>3217</v>
      </c>
      <c r="I504" s="556" t="s">
        <v>4144</v>
      </c>
      <c r="J504" s="557" t="s">
        <v>2888</v>
      </c>
      <c r="K504" s="558" t="s">
        <v>2889</v>
      </c>
      <c r="L504" s="95"/>
      <c r="M504" s="104"/>
      <c r="N504" s="137">
        <v>1369.73</v>
      </c>
      <c r="O504" s="138">
        <v>1000</v>
      </c>
      <c r="P504" s="138">
        <v>0</v>
      </c>
      <c r="Q504" s="138">
        <v>0</v>
      </c>
      <c r="R504" s="138">
        <v>0</v>
      </c>
      <c r="S504" s="139">
        <v>0</v>
      </c>
      <c r="T504" s="322">
        <f t="shared" si="101"/>
        <v>-1369.73</v>
      </c>
      <c r="U504" s="140">
        <f t="shared" si="102"/>
        <v>-1</v>
      </c>
      <c r="V504" s="322">
        <f t="shared" si="98"/>
        <v>-1000</v>
      </c>
      <c r="W504" s="140">
        <f t="shared" si="103"/>
        <v>-1</v>
      </c>
      <c r="X504" s="322">
        <f t="shared" si="104"/>
        <v>0</v>
      </c>
      <c r="Y504" s="140" t="str">
        <f t="shared" si="105"/>
        <v/>
      </c>
      <c r="Z504" s="519">
        <v>0</v>
      </c>
      <c r="AA504" s="111">
        <f t="shared" si="99"/>
        <v>0</v>
      </c>
      <c r="AB504" s="111">
        <f t="shared" si="100"/>
        <v>0</v>
      </c>
    </row>
    <row r="505" spans="1:28" ht="31.5">
      <c r="A505" s="116" t="s">
        <v>1583</v>
      </c>
      <c r="B505" s="126" t="s">
        <v>1561</v>
      </c>
      <c r="C505" s="98" t="s">
        <v>2629</v>
      </c>
      <c r="D505" s="98" t="s">
        <v>2631</v>
      </c>
      <c r="E505" s="559" t="s">
        <v>4185</v>
      </c>
      <c r="F505" s="540" t="s">
        <v>5497</v>
      </c>
      <c r="G505" s="555" t="s">
        <v>1450</v>
      </c>
      <c r="H505" s="555" t="s">
        <v>3419</v>
      </c>
      <c r="I505" s="556" t="s">
        <v>4132</v>
      </c>
      <c r="J505" s="557" t="s">
        <v>208</v>
      </c>
      <c r="K505" s="558" t="s">
        <v>2887</v>
      </c>
      <c r="L505" s="95"/>
      <c r="M505" s="104"/>
      <c r="N505" s="137">
        <v>21577.56</v>
      </c>
      <c r="O505" s="138">
        <v>18000</v>
      </c>
      <c r="P505" s="138">
        <v>20000</v>
      </c>
      <c r="Q505" s="138">
        <v>20000</v>
      </c>
      <c r="R505" s="138">
        <v>20000</v>
      </c>
      <c r="S505" s="139">
        <v>20000</v>
      </c>
      <c r="T505" s="322">
        <f t="shared" si="101"/>
        <v>-1577.5600000000013</v>
      </c>
      <c r="U505" s="140">
        <f t="shared" si="102"/>
        <v>-7.311113953570289E-2</v>
      </c>
      <c r="V505" s="322">
        <f t="shared" si="98"/>
        <v>2000</v>
      </c>
      <c r="W505" s="140">
        <f t="shared" si="103"/>
        <v>0.1111111111111111</v>
      </c>
      <c r="X505" s="322">
        <f t="shared" si="104"/>
        <v>0</v>
      </c>
      <c r="Y505" s="140">
        <f t="shared" si="105"/>
        <v>0</v>
      </c>
      <c r="Z505" s="519">
        <v>15000</v>
      </c>
      <c r="AA505" s="111">
        <f t="shared" si="99"/>
        <v>20000</v>
      </c>
      <c r="AB505" s="111">
        <f t="shared" si="100"/>
        <v>0</v>
      </c>
    </row>
    <row r="506" spans="1:28" ht="31.5">
      <c r="A506" s="116" t="s">
        <v>2674</v>
      </c>
      <c r="B506" s="126" t="s">
        <v>1561</v>
      </c>
      <c r="C506" s="98" t="s">
        <v>2629</v>
      </c>
      <c r="D506" s="98" t="s">
        <v>2834</v>
      </c>
      <c r="E506" s="559" t="s">
        <v>4186</v>
      </c>
      <c r="F506" s="540" t="s">
        <v>5498</v>
      </c>
      <c r="G506" s="555" t="s">
        <v>1452</v>
      </c>
      <c r="H506" s="555" t="s">
        <v>3421</v>
      </c>
      <c r="I506" s="556" t="s">
        <v>4135</v>
      </c>
      <c r="J506" s="557" t="s">
        <v>208</v>
      </c>
      <c r="K506" s="558" t="s">
        <v>2887</v>
      </c>
      <c r="L506" s="95"/>
      <c r="M506" s="104"/>
      <c r="N506" s="137">
        <v>0</v>
      </c>
      <c r="O506" s="138">
        <v>4000</v>
      </c>
      <c r="P506" s="138">
        <v>4000</v>
      </c>
      <c r="Q506" s="138">
        <v>4000</v>
      </c>
      <c r="R506" s="138">
        <v>4000</v>
      </c>
      <c r="S506" s="139">
        <v>4000</v>
      </c>
      <c r="T506" s="322">
        <f t="shared" si="101"/>
        <v>4000</v>
      </c>
      <c r="U506" s="140" t="str">
        <f t="shared" si="102"/>
        <v/>
      </c>
      <c r="V506" s="322">
        <f t="shared" si="98"/>
        <v>0</v>
      </c>
      <c r="W506" s="140">
        <f t="shared" si="103"/>
        <v>0</v>
      </c>
      <c r="X506" s="322">
        <f t="shared" si="104"/>
        <v>0</v>
      </c>
      <c r="Y506" s="140">
        <f t="shared" si="105"/>
        <v>0</v>
      </c>
      <c r="Z506" s="519">
        <v>3000</v>
      </c>
      <c r="AA506" s="111">
        <f t="shared" si="99"/>
        <v>4000</v>
      </c>
      <c r="AB506" s="111">
        <f t="shared" si="100"/>
        <v>0</v>
      </c>
    </row>
    <row r="507" spans="1:28" ht="31.5">
      <c r="A507" s="114" t="s">
        <v>1584</v>
      </c>
      <c r="B507" s="125" t="s">
        <v>1561</v>
      </c>
      <c r="C507" s="97" t="s">
        <v>2629</v>
      </c>
      <c r="D507" s="97" t="s">
        <v>1552</v>
      </c>
      <c r="E507" s="559" t="s">
        <v>4187</v>
      </c>
      <c r="F507" s="540" t="s">
        <v>5499</v>
      </c>
      <c r="G507" s="555" t="s">
        <v>1458</v>
      </c>
      <c r="H507" s="555" t="s">
        <v>3215</v>
      </c>
      <c r="I507" s="556" t="s">
        <v>4142</v>
      </c>
      <c r="J507" s="557" t="s">
        <v>2888</v>
      </c>
      <c r="K507" s="558" t="s">
        <v>2889</v>
      </c>
      <c r="L507" s="95"/>
      <c r="M507" s="104"/>
      <c r="N507" s="137">
        <v>10313.66</v>
      </c>
      <c r="O507" s="138">
        <v>6000</v>
      </c>
      <c r="P507" s="138">
        <v>11000</v>
      </c>
      <c r="Q507" s="138">
        <v>11000</v>
      </c>
      <c r="R507" s="138">
        <v>11000</v>
      </c>
      <c r="S507" s="139">
        <v>11000</v>
      </c>
      <c r="T507" s="322">
        <f t="shared" si="101"/>
        <v>686.34000000000015</v>
      </c>
      <c r="U507" s="140">
        <f t="shared" si="102"/>
        <v>6.6546696323128762E-2</v>
      </c>
      <c r="V507" s="322">
        <f t="shared" si="98"/>
        <v>5000</v>
      </c>
      <c r="W507" s="140">
        <f t="shared" si="103"/>
        <v>0.83333333333333337</v>
      </c>
      <c r="X507" s="322">
        <f t="shared" si="104"/>
        <v>0</v>
      </c>
      <c r="Y507" s="140">
        <f t="shared" si="105"/>
        <v>0</v>
      </c>
      <c r="Z507" s="519">
        <v>8000</v>
      </c>
      <c r="AA507" s="111">
        <f t="shared" si="99"/>
        <v>10666.666666666666</v>
      </c>
      <c r="AB507" s="111">
        <f t="shared" si="100"/>
        <v>333.33333333333394</v>
      </c>
    </row>
    <row r="508" spans="1:28" ht="31.5">
      <c r="A508" s="114" t="s">
        <v>3227</v>
      </c>
      <c r="B508" s="125" t="s">
        <v>1561</v>
      </c>
      <c r="C508" s="97" t="s">
        <v>2629</v>
      </c>
      <c r="D508" s="97" t="s">
        <v>3196</v>
      </c>
      <c r="E508" s="559" t="s">
        <v>4188</v>
      </c>
      <c r="F508" s="540" t="s">
        <v>5500</v>
      </c>
      <c r="G508" s="555" t="s">
        <v>1460</v>
      </c>
      <c r="H508" s="555" t="s">
        <v>3217</v>
      </c>
      <c r="I508" s="556" t="s">
        <v>4144</v>
      </c>
      <c r="J508" s="557" t="s">
        <v>2888</v>
      </c>
      <c r="K508" s="558" t="s">
        <v>2889</v>
      </c>
      <c r="L508" s="95"/>
      <c r="M508" s="104"/>
      <c r="N508" s="137">
        <v>1070.25</v>
      </c>
      <c r="O508" s="138">
        <v>0</v>
      </c>
      <c r="P508" s="138">
        <v>0</v>
      </c>
      <c r="Q508" s="138">
        <v>0</v>
      </c>
      <c r="R508" s="138">
        <v>0</v>
      </c>
      <c r="S508" s="139">
        <v>0</v>
      </c>
      <c r="T508" s="322">
        <f t="shared" si="101"/>
        <v>-1070.25</v>
      </c>
      <c r="U508" s="140">
        <f t="shared" si="102"/>
        <v>-1</v>
      </c>
      <c r="V508" s="322">
        <f t="shared" si="98"/>
        <v>0</v>
      </c>
      <c r="W508" s="140" t="str">
        <f t="shared" si="103"/>
        <v/>
      </c>
      <c r="X508" s="322">
        <f t="shared" si="104"/>
        <v>0</v>
      </c>
      <c r="Y508" s="140" t="str">
        <f t="shared" si="105"/>
        <v/>
      </c>
      <c r="Z508" s="519">
        <v>0</v>
      </c>
      <c r="AA508" s="111">
        <f t="shared" si="99"/>
        <v>0</v>
      </c>
      <c r="AB508" s="111">
        <f t="shared" si="100"/>
        <v>0</v>
      </c>
    </row>
    <row r="509" spans="1:28" ht="36.75" customHeight="1">
      <c r="A509" s="116" t="s">
        <v>1585</v>
      </c>
      <c r="B509" s="126" t="s">
        <v>1561</v>
      </c>
      <c r="C509" s="98" t="s">
        <v>2629</v>
      </c>
      <c r="D509" s="98" t="s">
        <v>1404</v>
      </c>
      <c r="E509" s="559" t="s">
        <v>4189</v>
      </c>
      <c r="F509" s="540" t="s">
        <v>4190</v>
      </c>
      <c r="G509" s="511" t="s">
        <v>1450</v>
      </c>
      <c r="H509" s="511" t="s">
        <v>3419</v>
      </c>
      <c r="I509" s="544" t="s">
        <v>4132</v>
      </c>
      <c r="J509" s="542" t="s">
        <v>208</v>
      </c>
      <c r="K509" s="543" t="s">
        <v>2887</v>
      </c>
      <c r="L509" s="95"/>
      <c r="M509" s="104"/>
      <c r="N509" s="137">
        <v>5597</v>
      </c>
      <c r="O509" s="138">
        <v>0</v>
      </c>
      <c r="P509" s="138">
        <v>6000</v>
      </c>
      <c r="Q509" s="138">
        <v>6000</v>
      </c>
      <c r="R509" s="138">
        <v>6000</v>
      </c>
      <c r="S509" s="139">
        <v>6000</v>
      </c>
      <c r="T509" s="322">
        <f t="shared" si="101"/>
        <v>403</v>
      </c>
      <c r="U509" s="140">
        <f t="shared" si="102"/>
        <v>7.2002858674289794E-2</v>
      </c>
      <c r="V509" s="322">
        <f t="shared" si="98"/>
        <v>6000</v>
      </c>
      <c r="W509" s="140" t="str">
        <f t="shared" si="103"/>
        <v/>
      </c>
      <c r="X509" s="322">
        <f t="shared" si="104"/>
        <v>0</v>
      </c>
      <c r="Y509" s="140">
        <f t="shared" si="105"/>
        <v>0</v>
      </c>
      <c r="Z509" s="519">
        <v>5000</v>
      </c>
      <c r="AA509" s="111">
        <f t="shared" si="99"/>
        <v>6666.666666666667</v>
      </c>
      <c r="AB509" s="111">
        <f t="shared" si="100"/>
        <v>-666.66666666666697</v>
      </c>
    </row>
    <row r="510" spans="1:28" ht="36.75" customHeight="1">
      <c r="A510" s="116" t="s">
        <v>3228</v>
      </c>
      <c r="B510" s="126" t="s">
        <v>1561</v>
      </c>
      <c r="C510" s="98" t="s">
        <v>2629</v>
      </c>
      <c r="D510" s="98" t="s">
        <v>1372</v>
      </c>
      <c r="E510" s="559" t="s">
        <v>4191</v>
      </c>
      <c r="F510" s="540" t="s">
        <v>5501</v>
      </c>
      <c r="G510" s="511" t="s">
        <v>1452</v>
      </c>
      <c r="H510" s="511" t="s">
        <v>3421</v>
      </c>
      <c r="I510" s="544" t="s">
        <v>4135</v>
      </c>
      <c r="J510" s="542" t="s">
        <v>208</v>
      </c>
      <c r="K510" s="543" t="s">
        <v>2887</v>
      </c>
      <c r="L510" s="95"/>
      <c r="M510" s="104"/>
      <c r="N510" s="137">
        <v>0</v>
      </c>
      <c r="O510" s="138">
        <v>0</v>
      </c>
      <c r="P510" s="138">
        <v>0</v>
      </c>
      <c r="Q510" s="138">
        <v>0</v>
      </c>
      <c r="R510" s="138">
        <v>0</v>
      </c>
      <c r="S510" s="139">
        <v>0</v>
      </c>
      <c r="T510" s="322">
        <f t="shared" si="101"/>
        <v>0</v>
      </c>
      <c r="U510" s="140" t="str">
        <f t="shared" si="102"/>
        <v/>
      </c>
      <c r="V510" s="322">
        <f t="shared" si="98"/>
        <v>0</v>
      </c>
      <c r="W510" s="140" t="str">
        <f t="shared" si="103"/>
        <v/>
      </c>
      <c r="X510" s="322">
        <f t="shared" si="104"/>
        <v>0</v>
      </c>
      <c r="Y510" s="140" t="str">
        <f t="shared" si="105"/>
        <v/>
      </c>
      <c r="Z510" s="519">
        <v>0</v>
      </c>
      <c r="AA510" s="111">
        <f t="shared" si="99"/>
        <v>0</v>
      </c>
      <c r="AB510" s="111">
        <f t="shared" si="100"/>
        <v>0</v>
      </c>
    </row>
    <row r="511" spans="1:28" ht="36.75" customHeight="1">
      <c r="A511" s="114" t="s">
        <v>1586</v>
      </c>
      <c r="B511" s="125" t="s">
        <v>1561</v>
      </c>
      <c r="C511" s="97" t="s">
        <v>2629</v>
      </c>
      <c r="D511" s="97" t="s">
        <v>1555</v>
      </c>
      <c r="E511" s="559" t="s">
        <v>4192</v>
      </c>
      <c r="F511" s="540" t="s">
        <v>4193</v>
      </c>
      <c r="G511" s="511" t="s">
        <v>1458</v>
      </c>
      <c r="H511" s="511" t="s">
        <v>3215</v>
      </c>
      <c r="I511" s="544" t="s">
        <v>4142</v>
      </c>
      <c r="J511" s="542" t="s">
        <v>2888</v>
      </c>
      <c r="K511" s="543" t="s">
        <v>2889</v>
      </c>
      <c r="L511" s="95"/>
      <c r="M511" s="104"/>
      <c r="N511" s="137">
        <v>10495</v>
      </c>
      <c r="O511" s="138">
        <v>0</v>
      </c>
      <c r="P511" s="138">
        <v>10000</v>
      </c>
      <c r="Q511" s="138">
        <v>10000</v>
      </c>
      <c r="R511" s="138">
        <v>10000</v>
      </c>
      <c r="S511" s="139">
        <v>10000</v>
      </c>
      <c r="T511" s="322">
        <f t="shared" si="101"/>
        <v>-495</v>
      </c>
      <c r="U511" s="140">
        <f t="shared" si="102"/>
        <v>-4.7165316817532159E-2</v>
      </c>
      <c r="V511" s="322">
        <f t="shared" si="98"/>
        <v>10000</v>
      </c>
      <c r="W511" s="140" t="str">
        <f t="shared" si="103"/>
        <v/>
      </c>
      <c r="X511" s="322">
        <f t="shared" si="104"/>
        <v>0</v>
      </c>
      <c r="Y511" s="140">
        <f t="shared" si="105"/>
        <v>0</v>
      </c>
      <c r="Z511" s="519">
        <v>8000</v>
      </c>
      <c r="AA511" s="111">
        <f t="shared" si="99"/>
        <v>10666.666666666666</v>
      </c>
      <c r="AB511" s="111">
        <f t="shared" si="100"/>
        <v>-666.66666666666606</v>
      </c>
    </row>
    <row r="512" spans="1:28" ht="36.75" customHeight="1">
      <c r="A512" s="114" t="s">
        <v>3229</v>
      </c>
      <c r="B512" s="125" t="s">
        <v>1561</v>
      </c>
      <c r="C512" s="97" t="s">
        <v>2629</v>
      </c>
      <c r="D512" s="97" t="s">
        <v>3152</v>
      </c>
      <c r="E512" s="559" t="s">
        <v>4194</v>
      </c>
      <c r="F512" s="540" t="s">
        <v>4195</v>
      </c>
      <c r="G512" s="511" t="s">
        <v>1460</v>
      </c>
      <c r="H512" s="511" t="s">
        <v>3217</v>
      </c>
      <c r="I512" s="544" t="s">
        <v>4144</v>
      </c>
      <c r="J512" s="542" t="s">
        <v>2888</v>
      </c>
      <c r="K512" s="543" t="s">
        <v>2889</v>
      </c>
      <c r="L512" s="95"/>
      <c r="M512" s="104"/>
      <c r="N512" s="137">
        <v>0</v>
      </c>
      <c r="O512" s="138">
        <v>0</v>
      </c>
      <c r="P512" s="138">
        <v>0</v>
      </c>
      <c r="Q512" s="138">
        <v>0</v>
      </c>
      <c r="R512" s="138">
        <v>0</v>
      </c>
      <c r="S512" s="139">
        <v>0</v>
      </c>
      <c r="T512" s="322">
        <f t="shared" si="101"/>
        <v>0</v>
      </c>
      <c r="U512" s="140" t="str">
        <f t="shared" si="102"/>
        <v/>
      </c>
      <c r="V512" s="322">
        <f t="shared" si="98"/>
        <v>0</v>
      </c>
      <c r="W512" s="140" t="str">
        <f t="shared" si="103"/>
        <v/>
      </c>
      <c r="X512" s="322">
        <f t="shared" si="104"/>
        <v>0</v>
      </c>
      <c r="Y512" s="140" t="str">
        <f t="shared" si="105"/>
        <v/>
      </c>
      <c r="Z512" s="519">
        <v>0</v>
      </c>
      <c r="AA512" s="111">
        <f t="shared" si="99"/>
        <v>0</v>
      </c>
      <c r="AB512" s="111">
        <f t="shared" si="100"/>
        <v>0</v>
      </c>
    </row>
    <row r="513" spans="1:28" ht="36.75" customHeight="1">
      <c r="A513" s="114" t="s">
        <v>1587</v>
      </c>
      <c r="B513" s="125" t="s">
        <v>1561</v>
      </c>
      <c r="C513" s="97" t="s">
        <v>2629</v>
      </c>
      <c r="D513" s="97" t="s">
        <v>2291</v>
      </c>
      <c r="E513" s="559" t="s">
        <v>4196</v>
      </c>
      <c r="F513" s="540" t="s">
        <v>4197</v>
      </c>
      <c r="G513" s="512" t="s">
        <v>4886</v>
      </c>
      <c r="H513" s="512" t="s">
        <v>5002</v>
      </c>
      <c r="I513" s="541" t="s">
        <v>5003</v>
      </c>
      <c r="J513" s="576" t="s">
        <v>2909</v>
      </c>
      <c r="K513" s="577" t="s">
        <v>2725</v>
      </c>
      <c r="L513" s="95"/>
      <c r="M513" s="104"/>
      <c r="N513" s="137">
        <v>15032.13</v>
      </c>
      <c r="O513" s="138">
        <v>7650</v>
      </c>
      <c r="P513" s="138">
        <v>16000</v>
      </c>
      <c r="Q513" s="138">
        <v>16000</v>
      </c>
      <c r="R513" s="138">
        <v>16000</v>
      </c>
      <c r="S513" s="139">
        <v>16000</v>
      </c>
      <c r="T513" s="322">
        <f t="shared" si="101"/>
        <v>967.8700000000008</v>
      </c>
      <c r="U513" s="140">
        <f t="shared" si="102"/>
        <v>6.4386750247636293E-2</v>
      </c>
      <c r="V513" s="322">
        <f t="shared" si="98"/>
        <v>8350</v>
      </c>
      <c r="W513" s="140">
        <f t="shared" si="103"/>
        <v>1.0915032679738561</v>
      </c>
      <c r="X513" s="322">
        <f t="shared" si="104"/>
        <v>0</v>
      </c>
      <c r="Y513" s="140">
        <f t="shared" si="105"/>
        <v>0</v>
      </c>
      <c r="Z513" s="519">
        <v>12000</v>
      </c>
      <c r="AA513" s="111">
        <f t="shared" si="99"/>
        <v>16000</v>
      </c>
      <c r="AB513" s="111">
        <f t="shared" si="100"/>
        <v>0</v>
      </c>
    </row>
    <row r="514" spans="1:28" ht="36.75" customHeight="1">
      <c r="A514" s="114" t="s">
        <v>3230</v>
      </c>
      <c r="B514" s="125" t="s">
        <v>1561</v>
      </c>
      <c r="C514" s="97" t="s">
        <v>2629</v>
      </c>
      <c r="D514" s="97" t="s">
        <v>2632</v>
      </c>
      <c r="E514" s="559" t="s">
        <v>4198</v>
      </c>
      <c r="F514" s="540" t="s">
        <v>4199</v>
      </c>
      <c r="G514" s="512" t="s">
        <v>4886</v>
      </c>
      <c r="H514" s="512" t="s">
        <v>5002</v>
      </c>
      <c r="I514" s="541" t="s">
        <v>5003</v>
      </c>
      <c r="J514" s="576" t="s">
        <v>2909</v>
      </c>
      <c r="K514" s="577" t="s">
        <v>2725</v>
      </c>
      <c r="L514" s="95"/>
      <c r="M514" s="104"/>
      <c r="N514" s="137">
        <v>0</v>
      </c>
      <c r="O514" s="138">
        <v>1900</v>
      </c>
      <c r="P514" s="138">
        <v>0</v>
      </c>
      <c r="Q514" s="138">
        <v>0</v>
      </c>
      <c r="R514" s="138">
        <v>0</v>
      </c>
      <c r="S514" s="139">
        <v>0</v>
      </c>
      <c r="T514" s="322">
        <f t="shared" si="101"/>
        <v>0</v>
      </c>
      <c r="U514" s="140" t="str">
        <f t="shared" si="102"/>
        <v/>
      </c>
      <c r="V514" s="322">
        <f t="shared" si="98"/>
        <v>-1900</v>
      </c>
      <c r="W514" s="140">
        <f t="shared" si="103"/>
        <v>-1</v>
      </c>
      <c r="X514" s="322">
        <f t="shared" si="104"/>
        <v>0</v>
      </c>
      <c r="Y514" s="140" t="str">
        <f t="shared" si="105"/>
        <v/>
      </c>
      <c r="Z514" s="519">
        <v>0</v>
      </c>
      <c r="AA514" s="111">
        <f t="shared" si="99"/>
        <v>0</v>
      </c>
      <c r="AB514" s="111">
        <f t="shared" si="100"/>
        <v>0</v>
      </c>
    </row>
    <row r="515" spans="1:28" ht="36.75" customHeight="1">
      <c r="A515" s="116" t="s">
        <v>1588</v>
      </c>
      <c r="B515" s="126" t="s">
        <v>1561</v>
      </c>
      <c r="C515" s="98" t="s">
        <v>2629</v>
      </c>
      <c r="D515" s="98" t="s">
        <v>80</v>
      </c>
      <c r="E515" s="559" t="s">
        <v>4200</v>
      </c>
      <c r="F515" s="540" t="s">
        <v>5502</v>
      </c>
      <c r="G515" s="512" t="s">
        <v>4886</v>
      </c>
      <c r="H515" s="512" t="s">
        <v>5002</v>
      </c>
      <c r="I515" s="541" t="s">
        <v>5003</v>
      </c>
      <c r="J515" s="576" t="s">
        <v>2909</v>
      </c>
      <c r="K515" s="577" t="s">
        <v>2725</v>
      </c>
      <c r="L515" s="95"/>
      <c r="M515" s="104"/>
      <c r="N515" s="137">
        <v>12061.64</v>
      </c>
      <c r="O515" s="138">
        <v>6450</v>
      </c>
      <c r="P515" s="138">
        <v>12000</v>
      </c>
      <c r="Q515" s="138">
        <v>12000</v>
      </c>
      <c r="R515" s="138">
        <v>12000</v>
      </c>
      <c r="S515" s="139">
        <v>12000</v>
      </c>
      <c r="T515" s="322">
        <f t="shared" si="101"/>
        <v>-61.639999999999418</v>
      </c>
      <c r="U515" s="140">
        <f t="shared" si="102"/>
        <v>-5.110416162312871E-3</v>
      </c>
      <c r="V515" s="322">
        <f t="shared" si="98"/>
        <v>5550</v>
      </c>
      <c r="W515" s="140">
        <f t="shared" si="103"/>
        <v>0.86046511627906974</v>
      </c>
      <c r="X515" s="322">
        <f t="shared" si="104"/>
        <v>0</v>
      </c>
      <c r="Y515" s="140">
        <f t="shared" si="105"/>
        <v>0</v>
      </c>
      <c r="Z515" s="519">
        <v>9000</v>
      </c>
      <c r="AA515" s="111">
        <f t="shared" si="99"/>
        <v>12000</v>
      </c>
      <c r="AB515" s="111">
        <f t="shared" si="100"/>
        <v>0</v>
      </c>
    </row>
    <row r="516" spans="1:28" ht="36.75" customHeight="1">
      <c r="A516" s="116" t="s">
        <v>3231</v>
      </c>
      <c r="B516" s="126" t="s">
        <v>1561</v>
      </c>
      <c r="C516" s="98" t="s">
        <v>2629</v>
      </c>
      <c r="D516" s="98" t="s">
        <v>3413</v>
      </c>
      <c r="E516" s="559" t="s">
        <v>4201</v>
      </c>
      <c r="F516" s="540" t="s">
        <v>5503</v>
      </c>
      <c r="G516" s="512" t="s">
        <v>4886</v>
      </c>
      <c r="H516" s="512" t="s">
        <v>5002</v>
      </c>
      <c r="I516" s="541" t="s">
        <v>5003</v>
      </c>
      <c r="J516" s="576" t="s">
        <v>2909</v>
      </c>
      <c r="K516" s="577" t="s">
        <v>2725</v>
      </c>
      <c r="L516" s="95"/>
      <c r="M516" s="104"/>
      <c r="N516" s="137">
        <v>387.21</v>
      </c>
      <c r="O516" s="138">
        <v>7340</v>
      </c>
      <c r="P516" s="138">
        <v>0</v>
      </c>
      <c r="Q516" s="138">
        <v>0</v>
      </c>
      <c r="R516" s="138">
        <v>0</v>
      </c>
      <c r="S516" s="139">
        <v>0</v>
      </c>
      <c r="T516" s="322">
        <f t="shared" si="101"/>
        <v>-387.21</v>
      </c>
      <c r="U516" s="140">
        <f t="shared" si="102"/>
        <v>-1</v>
      </c>
      <c r="V516" s="322">
        <f t="shared" si="98"/>
        <v>-7340</v>
      </c>
      <c r="W516" s="140">
        <f t="shared" si="103"/>
        <v>-1</v>
      </c>
      <c r="X516" s="322">
        <f t="shared" si="104"/>
        <v>0</v>
      </c>
      <c r="Y516" s="140" t="str">
        <f t="shared" si="105"/>
        <v/>
      </c>
      <c r="Z516" s="519">
        <v>0</v>
      </c>
      <c r="AA516" s="111">
        <f t="shared" si="99"/>
        <v>0</v>
      </c>
      <c r="AB516" s="111">
        <f t="shared" si="100"/>
        <v>0</v>
      </c>
    </row>
    <row r="517" spans="1:28" ht="21">
      <c r="A517" s="113" t="s">
        <v>2292</v>
      </c>
      <c r="B517" s="135" t="s">
        <v>2293</v>
      </c>
      <c r="C517" s="136" t="s">
        <v>3184</v>
      </c>
      <c r="D517" s="136" t="s">
        <v>3185</v>
      </c>
      <c r="E517" s="529" t="s">
        <v>2295</v>
      </c>
      <c r="F517" s="529" t="s">
        <v>2294</v>
      </c>
      <c r="G517" s="530"/>
      <c r="H517" s="530"/>
      <c r="I517" s="531"/>
      <c r="J517" s="532"/>
      <c r="K517" s="533"/>
      <c r="L517" s="95"/>
      <c r="M517" s="147"/>
      <c r="N517" s="137">
        <v>0</v>
      </c>
      <c r="O517" s="138">
        <v>0</v>
      </c>
      <c r="P517" s="138">
        <v>0</v>
      </c>
      <c r="Q517" s="138">
        <v>0</v>
      </c>
      <c r="R517" s="138">
        <v>0</v>
      </c>
      <c r="S517" s="139">
        <v>0</v>
      </c>
      <c r="T517" s="322">
        <f t="shared" si="101"/>
        <v>0</v>
      </c>
      <c r="U517" s="140" t="str">
        <f t="shared" si="102"/>
        <v/>
      </c>
      <c r="V517" s="322">
        <f t="shared" si="98"/>
        <v>0</v>
      </c>
      <c r="W517" s="140" t="str">
        <f t="shared" si="103"/>
        <v/>
      </c>
      <c r="X517" s="322">
        <f t="shared" si="104"/>
        <v>0</v>
      </c>
      <c r="Y517" s="140" t="str">
        <f t="shared" si="105"/>
        <v/>
      </c>
      <c r="Z517" s="519">
        <v>0</v>
      </c>
      <c r="AA517" s="111">
        <f t="shared" si="99"/>
        <v>0</v>
      </c>
      <c r="AB517" s="111">
        <f t="shared" si="100"/>
        <v>0</v>
      </c>
    </row>
    <row r="518" spans="1:28" ht="26.25" customHeight="1">
      <c r="A518" s="115" t="s">
        <v>2296</v>
      </c>
      <c r="B518" s="124" t="s">
        <v>2293</v>
      </c>
      <c r="C518" s="101" t="s">
        <v>3186</v>
      </c>
      <c r="D518" s="101" t="s">
        <v>3185</v>
      </c>
      <c r="E518" s="554" t="s">
        <v>2298</v>
      </c>
      <c r="F518" s="534" t="s">
        <v>2297</v>
      </c>
      <c r="G518" s="555"/>
      <c r="H518" s="555"/>
      <c r="I518" s="556"/>
      <c r="J518" s="557"/>
      <c r="K518" s="558"/>
      <c r="L518" s="95"/>
      <c r="M518" s="104"/>
      <c r="N518" s="137">
        <v>0</v>
      </c>
      <c r="O518" s="138">
        <v>0</v>
      </c>
      <c r="P518" s="138">
        <v>0</v>
      </c>
      <c r="Q518" s="138">
        <v>0</v>
      </c>
      <c r="R518" s="138">
        <v>0</v>
      </c>
      <c r="S518" s="139">
        <v>0</v>
      </c>
      <c r="T518" s="322">
        <f t="shared" si="101"/>
        <v>0</v>
      </c>
      <c r="U518" s="140" t="str">
        <f t="shared" si="102"/>
        <v/>
      </c>
      <c r="V518" s="322">
        <f t="shared" si="98"/>
        <v>0</v>
      </c>
      <c r="W518" s="140" t="str">
        <f t="shared" si="103"/>
        <v/>
      </c>
      <c r="X518" s="322">
        <f t="shared" si="104"/>
        <v>0</v>
      </c>
      <c r="Y518" s="140" t="str">
        <f t="shared" si="105"/>
        <v/>
      </c>
      <c r="Z518" s="519">
        <v>0</v>
      </c>
      <c r="AA518" s="111">
        <f t="shared" si="99"/>
        <v>0</v>
      </c>
      <c r="AB518" s="111">
        <f t="shared" si="100"/>
        <v>0</v>
      </c>
    </row>
    <row r="519" spans="1:28" ht="26.25" customHeight="1">
      <c r="A519" s="114" t="s">
        <v>2299</v>
      </c>
      <c r="B519" s="125" t="s">
        <v>2293</v>
      </c>
      <c r="C519" s="97" t="s">
        <v>3186</v>
      </c>
      <c r="D519" s="97" t="s">
        <v>3183</v>
      </c>
      <c r="E519" s="559" t="s">
        <v>4202</v>
      </c>
      <c r="F519" s="540" t="s">
        <v>4203</v>
      </c>
      <c r="G519" s="555" t="s">
        <v>1468</v>
      </c>
      <c r="H519" s="555" t="s">
        <v>3232</v>
      </c>
      <c r="I519" s="556" t="s">
        <v>4204</v>
      </c>
      <c r="J519" s="557" t="s">
        <v>208</v>
      </c>
      <c r="K519" s="558" t="s">
        <v>2887</v>
      </c>
      <c r="L519" s="95"/>
      <c r="M519" s="104"/>
      <c r="N519" s="137">
        <v>609988.80000000005</v>
      </c>
      <c r="O519" s="138">
        <v>563000</v>
      </c>
      <c r="P519" s="138">
        <v>499000</v>
      </c>
      <c r="Q519" s="138">
        <v>504000</v>
      </c>
      <c r="R519" s="138">
        <v>509000</v>
      </c>
      <c r="S519" s="139">
        <v>514000</v>
      </c>
      <c r="T519" s="322">
        <f t="shared" si="101"/>
        <v>-105988.80000000005</v>
      </c>
      <c r="U519" s="140">
        <f t="shared" si="102"/>
        <v>-0.17375532140918004</v>
      </c>
      <c r="V519" s="322">
        <f t="shared" si="98"/>
        <v>-59000</v>
      </c>
      <c r="W519" s="140">
        <f t="shared" si="103"/>
        <v>-0.10479573712255773</v>
      </c>
      <c r="X519" s="322">
        <f t="shared" si="104"/>
        <v>5000</v>
      </c>
      <c r="Y519" s="140">
        <f t="shared" si="105"/>
        <v>1.002004008016032E-2</v>
      </c>
      <c r="Z519" s="519">
        <v>373773.45</v>
      </c>
      <c r="AA519" s="111">
        <f t="shared" si="99"/>
        <v>498364.60000000003</v>
      </c>
      <c r="AB519" s="111">
        <f t="shared" si="100"/>
        <v>635.39999999996508</v>
      </c>
    </row>
    <row r="520" spans="1:28" ht="26.25" customHeight="1">
      <c r="A520" s="114" t="s">
        <v>3233</v>
      </c>
      <c r="B520" s="125" t="s">
        <v>2293</v>
      </c>
      <c r="C520" s="97" t="s">
        <v>3186</v>
      </c>
      <c r="D520" s="97" t="s">
        <v>2833</v>
      </c>
      <c r="E520" s="559" t="s">
        <v>4205</v>
      </c>
      <c r="F520" s="540" t="s">
        <v>4206</v>
      </c>
      <c r="G520" s="555" t="s">
        <v>1470</v>
      </c>
      <c r="H520" s="555" t="s">
        <v>3234</v>
      </c>
      <c r="I520" s="556" t="s">
        <v>4207</v>
      </c>
      <c r="J520" s="557" t="s">
        <v>208</v>
      </c>
      <c r="K520" s="558" t="s">
        <v>2887</v>
      </c>
      <c r="L520" s="95"/>
      <c r="M520" s="104"/>
      <c r="N520" s="137">
        <v>0</v>
      </c>
      <c r="O520" s="138">
        <v>0</v>
      </c>
      <c r="P520" s="138">
        <v>0</v>
      </c>
      <c r="Q520" s="138">
        <v>0</v>
      </c>
      <c r="R520" s="138">
        <v>0</v>
      </c>
      <c r="S520" s="139">
        <v>0</v>
      </c>
      <c r="T520" s="322">
        <f t="shared" si="101"/>
        <v>0</v>
      </c>
      <c r="U520" s="140" t="str">
        <f t="shared" si="102"/>
        <v/>
      </c>
      <c r="V520" s="322">
        <f t="shared" si="98"/>
        <v>0</v>
      </c>
      <c r="W520" s="140" t="str">
        <f t="shared" si="103"/>
        <v/>
      </c>
      <c r="X520" s="322">
        <f t="shared" si="104"/>
        <v>0</v>
      </c>
      <c r="Y520" s="140" t="str">
        <f t="shared" si="105"/>
        <v/>
      </c>
      <c r="Z520" s="519">
        <v>0</v>
      </c>
      <c r="AA520" s="111">
        <f t="shared" si="99"/>
        <v>0</v>
      </c>
      <c r="AB520" s="111">
        <f t="shared" si="100"/>
        <v>0</v>
      </c>
    </row>
    <row r="521" spans="1:28" ht="36.75" customHeight="1">
      <c r="A521" s="114" t="s">
        <v>2300</v>
      </c>
      <c r="B521" s="125" t="s">
        <v>2293</v>
      </c>
      <c r="C521" s="97" t="s">
        <v>3186</v>
      </c>
      <c r="D521" s="97" t="s">
        <v>3193</v>
      </c>
      <c r="E521" s="559" t="s">
        <v>4208</v>
      </c>
      <c r="F521" s="540" t="s">
        <v>4209</v>
      </c>
      <c r="G521" s="555" t="s">
        <v>1468</v>
      </c>
      <c r="H521" s="555" t="s">
        <v>3232</v>
      </c>
      <c r="I521" s="556" t="s">
        <v>4204</v>
      </c>
      <c r="J521" s="557" t="s">
        <v>208</v>
      </c>
      <c r="K521" s="558" t="s">
        <v>2887</v>
      </c>
      <c r="L521" s="95"/>
      <c r="M521" s="104"/>
      <c r="N521" s="137">
        <v>0</v>
      </c>
      <c r="O521" s="138">
        <v>0</v>
      </c>
      <c r="P521" s="138">
        <v>0</v>
      </c>
      <c r="Q521" s="138">
        <v>0</v>
      </c>
      <c r="R521" s="138">
        <v>0</v>
      </c>
      <c r="S521" s="139">
        <v>0</v>
      </c>
      <c r="T521" s="322">
        <f t="shared" si="101"/>
        <v>0</v>
      </c>
      <c r="U521" s="140" t="str">
        <f t="shared" si="102"/>
        <v/>
      </c>
      <c r="V521" s="322">
        <f t="shared" ref="V521:V584" si="106">IF(O521="","",Q521-O521)</f>
        <v>0</v>
      </c>
      <c r="W521" s="140" t="str">
        <f t="shared" si="103"/>
        <v/>
      </c>
      <c r="X521" s="322">
        <f t="shared" si="104"/>
        <v>0</v>
      </c>
      <c r="Y521" s="140" t="str">
        <f t="shared" si="105"/>
        <v/>
      </c>
      <c r="Z521" s="519">
        <v>0</v>
      </c>
      <c r="AA521" s="111">
        <f t="shared" ref="AA521:AA584" si="107">Z521/3*4</f>
        <v>0</v>
      </c>
      <c r="AB521" s="111">
        <f t="shared" ref="AB521:AB584" si="108">P521-AA521</f>
        <v>0</v>
      </c>
    </row>
    <row r="522" spans="1:28" ht="36.75" customHeight="1">
      <c r="A522" s="114" t="s">
        <v>3235</v>
      </c>
      <c r="B522" s="125" t="s">
        <v>2293</v>
      </c>
      <c r="C522" s="97" t="s">
        <v>3186</v>
      </c>
      <c r="D522" s="97" t="s">
        <v>1397</v>
      </c>
      <c r="E522" s="559" t="s">
        <v>4210</v>
      </c>
      <c r="F522" s="540" t="s">
        <v>4211</v>
      </c>
      <c r="G522" s="555" t="s">
        <v>1470</v>
      </c>
      <c r="H522" s="555" t="s">
        <v>3234</v>
      </c>
      <c r="I522" s="556" t="s">
        <v>4207</v>
      </c>
      <c r="J522" s="557" t="s">
        <v>208</v>
      </c>
      <c r="K522" s="558" t="s">
        <v>2887</v>
      </c>
      <c r="L522" s="95"/>
      <c r="M522" s="104"/>
      <c r="N522" s="137">
        <v>0</v>
      </c>
      <c r="O522" s="138">
        <v>0</v>
      </c>
      <c r="P522" s="138">
        <v>0</v>
      </c>
      <c r="Q522" s="138">
        <v>0</v>
      </c>
      <c r="R522" s="138">
        <v>0</v>
      </c>
      <c r="S522" s="139">
        <v>0</v>
      </c>
      <c r="T522" s="322">
        <f t="shared" si="101"/>
        <v>0</v>
      </c>
      <c r="U522" s="140" t="str">
        <f t="shared" si="102"/>
        <v/>
      </c>
      <c r="V522" s="322">
        <f t="shared" si="106"/>
        <v>0</v>
      </c>
      <c r="W522" s="140" t="str">
        <f t="shared" si="103"/>
        <v/>
      </c>
      <c r="X522" s="322">
        <f t="shared" si="104"/>
        <v>0</v>
      </c>
      <c r="Y522" s="140" t="str">
        <f t="shared" si="105"/>
        <v/>
      </c>
      <c r="Z522" s="519">
        <v>0</v>
      </c>
      <c r="AA522" s="111">
        <f t="shared" si="107"/>
        <v>0</v>
      </c>
      <c r="AB522" s="111">
        <f t="shared" si="108"/>
        <v>0</v>
      </c>
    </row>
    <row r="523" spans="1:28" ht="26.25" customHeight="1">
      <c r="A523" s="114" t="s">
        <v>2301</v>
      </c>
      <c r="B523" s="125" t="s">
        <v>2293</v>
      </c>
      <c r="C523" s="97" t="s">
        <v>3186</v>
      </c>
      <c r="D523" s="97" t="s">
        <v>2631</v>
      </c>
      <c r="E523" s="559" t="s">
        <v>4212</v>
      </c>
      <c r="F523" s="540" t="s">
        <v>5504</v>
      </c>
      <c r="G523" s="555" t="s">
        <v>1163</v>
      </c>
      <c r="H523" s="555" t="s">
        <v>3236</v>
      </c>
      <c r="I523" s="556" t="s">
        <v>4213</v>
      </c>
      <c r="J523" s="557" t="s">
        <v>2888</v>
      </c>
      <c r="K523" s="558" t="s">
        <v>2889</v>
      </c>
      <c r="L523" s="95"/>
      <c r="M523" s="104"/>
      <c r="N523" s="137">
        <v>51120955.329999998</v>
      </c>
      <c r="O523" s="138">
        <v>51650000</v>
      </c>
      <c r="P523" s="138">
        <v>51291000</v>
      </c>
      <c r="Q523" s="138">
        <v>51878000</v>
      </c>
      <c r="R523" s="138">
        <v>52391000</v>
      </c>
      <c r="S523" s="139">
        <v>52884000</v>
      </c>
      <c r="T523" s="322">
        <f t="shared" si="101"/>
        <v>757044.67000000179</v>
      </c>
      <c r="U523" s="140">
        <f t="shared" si="102"/>
        <v>1.4808891287595619E-2</v>
      </c>
      <c r="V523" s="322">
        <f t="shared" si="106"/>
        <v>228000</v>
      </c>
      <c r="W523" s="140">
        <f t="shared" si="103"/>
        <v>4.41432720232333E-3</v>
      </c>
      <c r="X523" s="322">
        <f t="shared" si="104"/>
        <v>587000</v>
      </c>
      <c r="Y523" s="140">
        <f t="shared" si="105"/>
        <v>1.1444502934237976E-2</v>
      </c>
      <c r="Z523" s="519">
        <v>38549865.670000002</v>
      </c>
      <c r="AA523" s="111">
        <f t="shared" si="107"/>
        <v>51399820.893333338</v>
      </c>
      <c r="AB523" s="111">
        <f t="shared" si="108"/>
        <v>-108820.8933333382</v>
      </c>
    </row>
    <row r="524" spans="1:28" ht="26.25" customHeight="1">
      <c r="A524" s="114" t="s">
        <v>3237</v>
      </c>
      <c r="B524" s="125" t="s">
        <v>2293</v>
      </c>
      <c r="C524" s="97" t="s">
        <v>3186</v>
      </c>
      <c r="D524" s="97" t="s">
        <v>2834</v>
      </c>
      <c r="E524" s="559" t="s">
        <v>4214</v>
      </c>
      <c r="F524" s="540" t="s">
        <v>5505</v>
      </c>
      <c r="G524" s="555" t="s">
        <v>1165</v>
      </c>
      <c r="H524" s="555" t="s">
        <v>3238</v>
      </c>
      <c r="I524" s="556" t="s">
        <v>4215</v>
      </c>
      <c r="J524" s="557" t="s">
        <v>2888</v>
      </c>
      <c r="K524" s="558" t="s">
        <v>2889</v>
      </c>
      <c r="L524" s="95"/>
      <c r="M524" s="104"/>
      <c r="N524" s="137">
        <v>3517421.98</v>
      </c>
      <c r="O524" s="138">
        <v>3587000</v>
      </c>
      <c r="P524" s="138">
        <v>3082000</v>
      </c>
      <c r="Q524" s="138">
        <v>3099000</v>
      </c>
      <c r="R524" s="138">
        <v>3115000</v>
      </c>
      <c r="S524" s="139">
        <v>3132000</v>
      </c>
      <c r="T524" s="322">
        <f t="shared" si="101"/>
        <v>-418421.98</v>
      </c>
      <c r="U524" s="140">
        <f t="shared" si="102"/>
        <v>-0.1189570038451855</v>
      </c>
      <c r="V524" s="322">
        <f t="shared" si="106"/>
        <v>-488000</v>
      </c>
      <c r="W524" s="140">
        <f t="shared" si="103"/>
        <v>-0.13604683579592974</v>
      </c>
      <c r="X524" s="322">
        <f t="shared" si="104"/>
        <v>17000</v>
      </c>
      <c r="Y524" s="140">
        <f t="shared" si="105"/>
        <v>5.5158987670343934E-3</v>
      </c>
      <c r="Z524" s="519">
        <v>2357819.21</v>
      </c>
      <c r="AA524" s="111">
        <f t="shared" si="107"/>
        <v>3143758.9466666668</v>
      </c>
      <c r="AB524" s="111">
        <f t="shared" si="108"/>
        <v>-61758.946666666772</v>
      </c>
    </row>
    <row r="525" spans="1:28" ht="36.75" customHeight="1">
      <c r="A525" s="114" t="s">
        <v>2302</v>
      </c>
      <c r="B525" s="125" t="s">
        <v>2293</v>
      </c>
      <c r="C525" s="97" t="s">
        <v>3186</v>
      </c>
      <c r="D525" s="97" t="s">
        <v>1404</v>
      </c>
      <c r="E525" s="559" t="s">
        <v>4216</v>
      </c>
      <c r="F525" s="540" t="s">
        <v>5506</v>
      </c>
      <c r="G525" s="555" t="s">
        <v>1163</v>
      </c>
      <c r="H525" s="555" t="s">
        <v>3236</v>
      </c>
      <c r="I525" s="556" t="s">
        <v>4213</v>
      </c>
      <c r="J525" s="557" t="s">
        <v>2888</v>
      </c>
      <c r="K525" s="558" t="s">
        <v>2889</v>
      </c>
      <c r="L525" s="95"/>
      <c r="M525" s="104"/>
      <c r="N525" s="137">
        <v>23273.25</v>
      </c>
      <c r="O525" s="138">
        <v>2000</v>
      </c>
      <c r="P525" s="138">
        <v>0</v>
      </c>
      <c r="Q525" s="138">
        <v>0</v>
      </c>
      <c r="R525" s="138">
        <v>0</v>
      </c>
      <c r="S525" s="139">
        <v>0</v>
      </c>
      <c r="T525" s="322">
        <f t="shared" si="101"/>
        <v>-23273.25</v>
      </c>
      <c r="U525" s="140">
        <f t="shared" si="102"/>
        <v>-1</v>
      </c>
      <c r="V525" s="322">
        <f t="shared" si="106"/>
        <v>-2000</v>
      </c>
      <c r="W525" s="140">
        <f t="shared" si="103"/>
        <v>-1</v>
      </c>
      <c r="X525" s="322">
        <f t="shared" si="104"/>
        <v>0</v>
      </c>
      <c r="Y525" s="140" t="str">
        <f t="shared" si="105"/>
        <v/>
      </c>
      <c r="Z525" s="519">
        <v>0</v>
      </c>
      <c r="AA525" s="111">
        <f t="shared" si="107"/>
        <v>0</v>
      </c>
      <c r="AB525" s="111">
        <f t="shared" si="108"/>
        <v>0</v>
      </c>
    </row>
    <row r="526" spans="1:28" ht="36.75" customHeight="1">
      <c r="A526" s="114" t="s">
        <v>3239</v>
      </c>
      <c r="B526" s="125" t="s">
        <v>2293</v>
      </c>
      <c r="C526" s="97" t="s">
        <v>3186</v>
      </c>
      <c r="D526" s="97" t="s">
        <v>1372</v>
      </c>
      <c r="E526" s="559" t="s">
        <v>4217</v>
      </c>
      <c r="F526" s="540" t="s">
        <v>5507</v>
      </c>
      <c r="G526" s="555" t="s">
        <v>1165</v>
      </c>
      <c r="H526" s="555" t="s">
        <v>3238</v>
      </c>
      <c r="I526" s="556" t="s">
        <v>4215</v>
      </c>
      <c r="J526" s="557" t="s">
        <v>2888</v>
      </c>
      <c r="K526" s="558" t="s">
        <v>2889</v>
      </c>
      <c r="L526" s="95"/>
      <c r="M526" s="104"/>
      <c r="N526" s="137">
        <v>0</v>
      </c>
      <c r="O526" s="138">
        <v>0</v>
      </c>
      <c r="P526" s="138">
        <v>0</v>
      </c>
      <c r="Q526" s="138">
        <v>0</v>
      </c>
      <c r="R526" s="138">
        <v>0</v>
      </c>
      <c r="S526" s="139">
        <v>0</v>
      </c>
      <c r="T526" s="322">
        <f t="shared" si="101"/>
        <v>0</v>
      </c>
      <c r="U526" s="140" t="str">
        <f t="shared" si="102"/>
        <v/>
      </c>
      <c r="V526" s="322">
        <f t="shared" si="106"/>
        <v>0</v>
      </c>
      <c r="W526" s="140" t="str">
        <f t="shared" si="103"/>
        <v/>
      </c>
      <c r="X526" s="322">
        <f t="shared" si="104"/>
        <v>0</v>
      </c>
      <c r="Y526" s="140" t="str">
        <f t="shared" si="105"/>
        <v/>
      </c>
      <c r="Z526" s="519">
        <v>0</v>
      </c>
      <c r="AA526" s="111">
        <f t="shared" si="107"/>
        <v>0</v>
      </c>
      <c r="AB526" s="111">
        <f t="shared" si="108"/>
        <v>0</v>
      </c>
    </row>
    <row r="527" spans="1:28" ht="26.25" customHeight="1">
      <c r="A527" s="117" t="s">
        <v>2303</v>
      </c>
      <c r="B527" s="127" t="s">
        <v>2293</v>
      </c>
      <c r="C527" s="99" t="s">
        <v>3187</v>
      </c>
      <c r="D527" s="99" t="s">
        <v>3185</v>
      </c>
      <c r="E527" s="534" t="s">
        <v>2305</v>
      </c>
      <c r="F527" s="534" t="s">
        <v>2304</v>
      </c>
      <c r="G527" s="555"/>
      <c r="H527" s="555"/>
      <c r="I527" s="556"/>
      <c r="J527" s="557"/>
      <c r="K527" s="558"/>
      <c r="L527" s="95"/>
      <c r="M527" s="104"/>
      <c r="N527" s="137">
        <v>0</v>
      </c>
      <c r="O527" s="138">
        <v>0</v>
      </c>
      <c r="P527" s="138">
        <v>0</v>
      </c>
      <c r="Q527" s="138">
        <v>0</v>
      </c>
      <c r="R527" s="138">
        <v>0</v>
      </c>
      <c r="S527" s="139">
        <v>0</v>
      </c>
      <c r="T527" s="322">
        <f t="shared" si="101"/>
        <v>0</v>
      </c>
      <c r="U527" s="140" t="str">
        <f t="shared" si="102"/>
        <v/>
      </c>
      <c r="V527" s="322">
        <f t="shared" si="106"/>
        <v>0</v>
      </c>
      <c r="W527" s="140" t="str">
        <f t="shared" si="103"/>
        <v/>
      </c>
      <c r="X527" s="322">
        <f t="shared" si="104"/>
        <v>0</v>
      </c>
      <c r="Y527" s="140" t="str">
        <f t="shared" si="105"/>
        <v/>
      </c>
      <c r="Z527" s="519">
        <v>0</v>
      </c>
      <c r="AA527" s="111">
        <f t="shared" si="107"/>
        <v>0</v>
      </c>
      <c r="AB527" s="111">
        <f t="shared" si="108"/>
        <v>0</v>
      </c>
    </row>
    <row r="528" spans="1:28" ht="26.25" customHeight="1">
      <c r="A528" s="116" t="s">
        <v>2306</v>
      </c>
      <c r="B528" s="126" t="s">
        <v>2293</v>
      </c>
      <c r="C528" s="98" t="s">
        <v>3187</v>
      </c>
      <c r="D528" s="98" t="s">
        <v>3183</v>
      </c>
      <c r="E528" s="540" t="s">
        <v>4218</v>
      </c>
      <c r="F528" s="540" t="s">
        <v>4219</v>
      </c>
      <c r="G528" s="555" t="s">
        <v>1468</v>
      </c>
      <c r="H528" s="555" t="s">
        <v>3232</v>
      </c>
      <c r="I528" s="556" t="s">
        <v>4204</v>
      </c>
      <c r="J528" s="557" t="s">
        <v>208</v>
      </c>
      <c r="K528" s="558" t="s">
        <v>2887</v>
      </c>
      <c r="L528" s="95"/>
      <c r="M528" s="104"/>
      <c r="N528" s="137">
        <v>40118.29</v>
      </c>
      <c r="O528" s="138">
        <v>39000</v>
      </c>
      <c r="P528" s="138">
        <v>66000</v>
      </c>
      <c r="Q528" s="138">
        <v>66000</v>
      </c>
      <c r="R528" s="138">
        <v>66000</v>
      </c>
      <c r="S528" s="139">
        <v>66000</v>
      </c>
      <c r="T528" s="322">
        <f t="shared" si="101"/>
        <v>25881.71</v>
      </c>
      <c r="U528" s="140">
        <f t="shared" si="102"/>
        <v>0.64513492474380141</v>
      </c>
      <c r="V528" s="322">
        <f t="shared" si="106"/>
        <v>27000</v>
      </c>
      <c r="W528" s="140">
        <f t="shared" si="103"/>
        <v>0.69230769230769229</v>
      </c>
      <c r="X528" s="322">
        <f t="shared" si="104"/>
        <v>0</v>
      </c>
      <c r="Y528" s="140">
        <f t="shared" si="105"/>
        <v>0</v>
      </c>
      <c r="Z528" s="519">
        <v>49094.14</v>
      </c>
      <c r="AA528" s="111">
        <f t="shared" si="107"/>
        <v>65458.853333333333</v>
      </c>
      <c r="AB528" s="111">
        <f t="shared" si="108"/>
        <v>541.14666666666744</v>
      </c>
    </row>
    <row r="529" spans="1:28" ht="26.25" customHeight="1">
      <c r="A529" s="116" t="s">
        <v>3240</v>
      </c>
      <c r="B529" s="126" t="s">
        <v>2293</v>
      </c>
      <c r="C529" s="98" t="s">
        <v>3187</v>
      </c>
      <c r="D529" s="98" t="s">
        <v>2833</v>
      </c>
      <c r="E529" s="540" t="s">
        <v>4220</v>
      </c>
      <c r="F529" s="540" t="s">
        <v>4221</v>
      </c>
      <c r="G529" s="555" t="s">
        <v>1470</v>
      </c>
      <c r="H529" s="555" t="s">
        <v>3234</v>
      </c>
      <c r="I529" s="556" t="s">
        <v>4207</v>
      </c>
      <c r="J529" s="557" t="s">
        <v>208</v>
      </c>
      <c r="K529" s="558" t="s">
        <v>2887</v>
      </c>
      <c r="L529" s="95"/>
      <c r="M529" s="104"/>
      <c r="N529" s="137">
        <v>0</v>
      </c>
      <c r="O529" s="138">
        <v>0</v>
      </c>
      <c r="P529" s="138">
        <v>0</v>
      </c>
      <c r="Q529" s="138">
        <v>0</v>
      </c>
      <c r="R529" s="138">
        <v>0</v>
      </c>
      <c r="S529" s="139">
        <v>0</v>
      </c>
      <c r="T529" s="322">
        <f t="shared" si="101"/>
        <v>0</v>
      </c>
      <c r="U529" s="140" t="str">
        <f t="shared" si="102"/>
        <v/>
      </c>
      <c r="V529" s="322">
        <f t="shared" si="106"/>
        <v>0</v>
      </c>
      <c r="W529" s="140" t="str">
        <f t="shared" si="103"/>
        <v/>
      </c>
      <c r="X529" s="322">
        <f t="shared" si="104"/>
        <v>0</v>
      </c>
      <c r="Y529" s="140" t="str">
        <f t="shared" si="105"/>
        <v/>
      </c>
      <c r="Z529" s="519">
        <v>0</v>
      </c>
      <c r="AA529" s="111">
        <f t="shared" si="107"/>
        <v>0</v>
      </c>
      <c r="AB529" s="111">
        <f t="shared" si="108"/>
        <v>0</v>
      </c>
    </row>
    <row r="530" spans="1:28" ht="26.25" customHeight="1">
      <c r="A530" s="116" t="s">
        <v>2307</v>
      </c>
      <c r="B530" s="126" t="s">
        <v>2293</v>
      </c>
      <c r="C530" s="98" t="s">
        <v>3187</v>
      </c>
      <c r="D530" s="98" t="s">
        <v>3193</v>
      </c>
      <c r="E530" s="540" t="s">
        <v>4222</v>
      </c>
      <c r="F530" s="540" t="s">
        <v>5508</v>
      </c>
      <c r="G530" s="555" t="s">
        <v>1163</v>
      </c>
      <c r="H530" s="555" t="s">
        <v>3236</v>
      </c>
      <c r="I530" s="556" t="s">
        <v>4213</v>
      </c>
      <c r="J530" s="557" t="s">
        <v>2888</v>
      </c>
      <c r="K530" s="558" t="s">
        <v>2889</v>
      </c>
      <c r="L530" s="95"/>
      <c r="M530" s="104"/>
      <c r="N530" s="137">
        <v>4240047.97</v>
      </c>
      <c r="O530" s="138">
        <v>4189000</v>
      </c>
      <c r="P530" s="138">
        <v>4189000</v>
      </c>
      <c r="Q530" s="138">
        <v>4189000</v>
      </c>
      <c r="R530" s="138">
        <v>4189000</v>
      </c>
      <c r="S530" s="139">
        <v>4189000</v>
      </c>
      <c r="T530" s="322">
        <f t="shared" si="101"/>
        <v>-51047.969999999739</v>
      </c>
      <c r="U530" s="140">
        <f t="shared" si="102"/>
        <v>-1.2039479355229969E-2</v>
      </c>
      <c r="V530" s="322">
        <f t="shared" si="106"/>
        <v>0</v>
      </c>
      <c r="W530" s="140">
        <f t="shared" si="103"/>
        <v>0</v>
      </c>
      <c r="X530" s="322">
        <f t="shared" si="104"/>
        <v>0</v>
      </c>
      <c r="Y530" s="140">
        <f t="shared" si="105"/>
        <v>0</v>
      </c>
      <c r="Z530" s="519">
        <v>3142055.58</v>
      </c>
      <c r="AA530" s="111">
        <f t="shared" si="107"/>
        <v>4189407.44</v>
      </c>
      <c r="AB530" s="111">
        <f t="shared" si="108"/>
        <v>-407.43999999994412</v>
      </c>
    </row>
    <row r="531" spans="1:28" ht="26.25" customHeight="1">
      <c r="A531" s="116" t="s">
        <v>3690</v>
      </c>
      <c r="B531" s="126" t="s">
        <v>2293</v>
      </c>
      <c r="C531" s="98" t="s">
        <v>3187</v>
      </c>
      <c r="D531" s="98" t="s">
        <v>1397</v>
      </c>
      <c r="E531" s="540" t="s">
        <v>4223</v>
      </c>
      <c r="F531" s="540" t="s">
        <v>5509</v>
      </c>
      <c r="G531" s="555" t="s">
        <v>1165</v>
      </c>
      <c r="H531" s="555" t="s">
        <v>3238</v>
      </c>
      <c r="I531" s="556" t="s">
        <v>4215</v>
      </c>
      <c r="J531" s="557" t="s">
        <v>2888</v>
      </c>
      <c r="K531" s="558" t="s">
        <v>2889</v>
      </c>
      <c r="L531" s="95"/>
      <c r="M531" s="104"/>
      <c r="N531" s="137">
        <v>278519</v>
      </c>
      <c r="O531" s="138">
        <v>293000</v>
      </c>
      <c r="P531" s="138">
        <v>263000</v>
      </c>
      <c r="Q531" s="138">
        <v>263000</v>
      </c>
      <c r="R531" s="138">
        <v>263000</v>
      </c>
      <c r="S531" s="139">
        <v>263000</v>
      </c>
      <c r="T531" s="322">
        <f t="shared" si="101"/>
        <v>-15519</v>
      </c>
      <c r="U531" s="140">
        <f t="shared" si="102"/>
        <v>-5.5719717505807502E-2</v>
      </c>
      <c r="V531" s="322">
        <f t="shared" si="106"/>
        <v>-30000</v>
      </c>
      <c r="W531" s="140">
        <f t="shared" si="103"/>
        <v>-0.10238907849829351</v>
      </c>
      <c r="X531" s="322">
        <f t="shared" si="104"/>
        <v>0</v>
      </c>
      <c r="Y531" s="140">
        <f t="shared" si="105"/>
        <v>0</v>
      </c>
      <c r="Z531" s="519">
        <v>197010.84</v>
      </c>
      <c r="AA531" s="111">
        <f t="shared" si="107"/>
        <v>262681.12</v>
      </c>
      <c r="AB531" s="111">
        <f t="shared" si="108"/>
        <v>318.88000000000466</v>
      </c>
    </row>
    <row r="532" spans="1:28" ht="26.25" customHeight="1">
      <c r="A532" s="117" t="s">
        <v>2308</v>
      </c>
      <c r="B532" s="127" t="s">
        <v>2293</v>
      </c>
      <c r="C532" s="99" t="s">
        <v>3189</v>
      </c>
      <c r="D532" s="99" t="s">
        <v>3185</v>
      </c>
      <c r="E532" s="534" t="s">
        <v>2310</v>
      </c>
      <c r="F532" s="534" t="s">
        <v>2309</v>
      </c>
      <c r="G532" s="555"/>
      <c r="H532" s="555"/>
      <c r="I532" s="556"/>
      <c r="J532" s="557"/>
      <c r="K532" s="558"/>
      <c r="L532" s="95"/>
      <c r="M532" s="104"/>
      <c r="N532" s="137">
        <v>0</v>
      </c>
      <c r="O532" s="138">
        <v>0</v>
      </c>
      <c r="P532" s="138">
        <v>0</v>
      </c>
      <c r="Q532" s="138">
        <v>0</v>
      </c>
      <c r="R532" s="138">
        <v>0</v>
      </c>
      <c r="S532" s="139">
        <v>0</v>
      </c>
      <c r="T532" s="322">
        <f t="shared" si="101"/>
        <v>0</v>
      </c>
      <c r="U532" s="140" t="str">
        <f t="shared" si="102"/>
        <v/>
      </c>
      <c r="V532" s="322">
        <f t="shared" si="106"/>
        <v>0</v>
      </c>
      <c r="W532" s="140" t="str">
        <f t="shared" si="103"/>
        <v/>
      </c>
      <c r="X532" s="322">
        <f t="shared" si="104"/>
        <v>0</v>
      </c>
      <c r="Y532" s="140" t="str">
        <f t="shared" si="105"/>
        <v/>
      </c>
      <c r="Z532" s="519">
        <v>0</v>
      </c>
      <c r="AA532" s="111">
        <f t="shared" si="107"/>
        <v>0</v>
      </c>
      <c r="AB532" s="111">
        <f t="shared" si="108"/>
        <v>0</v>
      </c>
    </row>
    <row r="533" spans="1:28" ht="36.75" customHeight="1">
      <c r="A533" s="116" t="s">
        <v>2311</v>
      </c>
      <c r="B533" s="126" t="s">
        <v>2293</v>
      </c>
      <c r="C533" s="98" t="s">
        <v>3189</v>
      </c>
      <c r="D533" s="98" t="s">
        <v>3183</v>
      </c>
      <c r="E533" s="540" t="s">
        <v>4224</v>
      </c>
      <c r="F533" s="540" t="s">
        <v>4225</v>
      </c>
      <c r="G533" s="555" t="s">
        <v>1468</v>
      </c>
      <c r="H533" s="555" t="s">
        <v>3232</v>
      </c>
      <c r="I533" s="556" t="s">
        <v>4204</v>
      </c>
      <c r="J533" s="557" t="s">
        <v>208</v>
      </c>
      <c r="K533" s="558" t="s">
        <v>2887</v>
      </c>
      <c r="L533" s="95"/>
      <c r="M533" s="104"/>
      <c r="N533" s="137">
        <v>40925.15</v>
      </c>
      <c r="O533" s="138">
        <v>42000</v>
      </c>
      <c r="P533" s="138">
        <v>39000</v>
      </c>
      <c r="Q533" s="138">
        <v>39000</v>
      </c>
      <c r="R533" s="138">
        <v>39000</v>
      </c>
      <c r="S533" s="139">
        <v>39000</v>
      </c>
      <c r="T533" s="322">
        <f t="shared" si="101"/>
        <v>-1925.1500000000015</v>
      </c>
      <c r="U533" s="140">
        <f t="shared" si="102"/>
        <v>-4.704075611207293E-2</v>
      </c>
      <c r="V533" s="322">
        <f t="shared" si="106"/>
        <v>-3000</v>
      </c>
      <c r="W533" s="140">
        <f t="shared" si="103"/>
        <v>-7.1428571428571425E-2</v>
      </c>
      <c r="X533" s="322">
        <f t="shared" si="104"/>
        <v>0</v>
      </c>
      <c r="Y533" s="140">
        <f t="shared" si="105"/>
        <v>0</v>
      </c>
      <c r="Z533" s="519">
        <v>27629.200000000001</v>
      </c>
      <c r="AA533" s="111">
        <f t="shared" si="107"/>
        <v>36838.933333333334</v>
      </c>
      <c r="AB533" s="111">
        <f t="shared" si="108"/>
        <v>2161.0666666666657</v>
      </c>
    </row>
    <row r="534" spans="1:28" ht="36.75" customHeight="1">
      <c r="A534" s="116" t="s">
        <v>3691</v>
      </c>
      <c r="B534" s="126" t="s">
        <v>2293</v>
      </c>
      <c r="C534" s="98" t="s">
        <v>3189</v>
      </c>
      <c r="D534" s="98" t="s">
        <v>2833</v>
      </c>
      <c r="E534" s="540" t="s">
        <v>4226</v>
      </c>
      <c r="F534" s="540" t="s">
        <v>4227</v>
      </c>
      <c r="G534" s="555" t="s">
        <v>1470</v>
      </c>
      <c r="H534" s="555" t="s">
        <v>3234</v>
      </c>
      <c r="I534" s="556" t="s">
        <v>4207</v>
      </c>
      <c r="J534" s="557" t="s">
        <v>208</v>
      </c>
      <c r="K534" s="558" t="s">
        <v>2887</v>
      </c>
      <c r="L534" s="95"/>
      <c r="M534" s="104"/>
      <c r="N534" s="137">
        <v>0</v>
      </c>
      <c r="O534" s="138">
        <v>0</v>
      </c>
      <c r="P534" s="138">
        <v>0</v>
      </c>
      <c r="Q534" s="138">
        <v>0</v>
      </c>
      <c r="R534" s="138">
        <v>0</v>
      </c>
      <c r="S534" s="139">
        <v>0</v>
      </c>
      <c r="T534" s="322">
        <f t="shared" si="101"/>
        <v>0</v>
      </c>
      <c r="U534" s="140" t="str">
        <f t="shared" si="102"/>
        <v/>
      </c>
      <c r="V534" s="322">
        <f t="shared" si="106"/>
        <v>0</v>
      </c>
      <c r="W534" s="140" t="str">
        <f t="shared" si="103"/>
        <v/>
      </c>
      <c r="X534" s="322">
        <f t="shared" si="104"/>
        <v>0</v>
      </c>
      <c r="Y534" s="140" t="str">
        <f t="shared" si="105"/>
        <v/>
      </c>
      <c r="Z534" s="519">
        <v>0</v>
      </c>
      <c r="AA534" s="111">
        <f t="shared" si="107"/>
        <v>0</v>
      </c>
      <c r="AB534" s="111">
        <f t="shared" si="108"/>
        <v>0</v>
      </c>
    </row>
    <row r="535" spans="1:28" ht="36.75" customHeight="1">
      <c r="A535" s="116" t="s">
        <v>2312</v>
      </c>
      <c r="B535" s="126" t="s">
        <v>2293</v>
      </c>
      <c r="C535" s="98" t="s">
        <v>3189</v>
      </c>
      <c r="D535" s="98" t="s">
        <v>3193</v>
      </c>
      <c r="E535" s="540" t="s">
        <v>4228</v>
      </c>
      <c r="F535" s="540" t="s">
        <v>5510</v>
      </c>
      <c r="G535" s="555" t="s">
        <v>1163</v>
      </c>
      <c r="H535" s="555" t="s">
        <v>3236</v>
      </c>
      <c r="I535" s="556" t="s">
        <v>4213</v>
      </c>
      <c r="J535" s="557" t="s">
        <v>2888</v>
      </c>
      <c r="K535" s="558" t="s">
        <v>2889</v>
      </c>
      <c r="L535" s="95"/>
      <c r="M535" s="104"/>
      <c r="N535" s="137">
        <v>1634520.66</v>
      </c>
      <c r="O535" s="138">
        <v>1636000</v>
      </c>
      <c r="P535" s="138">
        <v>1637000</v>
      </c>
      <c r="Q535" s="138">
        <v>1637000</v>
      </c>
      <c r="R535" s="138">
        <v>1637000</v>
      </c>
      <c r="S535" s="139">
        <v>1637000</v>
      </c>
      <c r="T535" s="322">
        <f t="shared" si="101"/>
        <v>2479.3400000000838</v>
      </c>
      <c r="U535" s="140">
        <f t="shared" si="102"/>
        <v>1.5168606067053835E-3</v>
      </c>
      <c r="V535" s="322">
        <f t="shared" si="106"/>
        <v>1000</v>
      </c>
      <c r="W535" s="140">
        <f t="shared" si="103"/>
        <v>6.1124694376528117E-4</v>
      </c>
      <c r="X535" s="322">
        <f t="shared" si="104"/>
        <v>0</v>
      </c>
      <c r="Y535" s="140">
        <f t="shared" si="105"/>
        <v>0</v>
      </c>
      <c r="Z535" s="519">
        <v>1228174.3700000001</v>
      </c>
      <c r="AA535" s="111">
        <f t="shared" si="107"/>
        <v>1637565.8266666669</v>
      </c>
      <c r="AB535" s="111">
        <f t="shared" si="108"/>
        <v>-565.82666666689329</v>
      </c>
    </row>
    <row r="536" spans="1:28" ht="36.75" customHeight="1">
      <c r="A536" s="116" t="s">
        <v>3692</v>
      </c>
      <c r="B536" s="126" t="s">
        <v>2293</v>
      </c>
      <c r="C536" s="98" t="s">
        <v>3189</v>
      </c>
      <c r="D536" s="98" t="s">
        <v>1397</v>
      </c>
      <c r="E536" s="540" t="s">
        <v>4229</v>
      </c>
      <c r="F536" s="540" t="s">
        <v>5511</v>
      </c>
      <c r="G536" s="555" t="s">
        <v>1165</v>
      </c>
      <c r="H536" s="555" t="s">
        <v>3238</v>
      </c>
      <c r="I536" s="556" t="s">
        <v>4215</v>
      </c>
      <c r="J536" s="557" t="s">
        <v>2888</v>
      </c>
      <c r="K536" s="558" t="s">
        <v>2889</v>
      </c>
      <c r="L536" s="95"/>
      <c r="M536" s="104"/>
      <c r="N536" s="137">
        <v>54232.98</v>
      </c>
      <c r="O536" s="138">
        <v>55000</v>
      </c>
      <c r="P536" s="138">
        <v>46000</v>
      </c>
      <c r="Q536" s="138">
        <v>46000</v>
      </c>
      <c r="R536" s="138">
        <v>46000</v>
      </c>
      <c r="S536" s="139">
        <v>46000</v>
      </c>
      <c r="T536" s="322">
        <f t="shared" si="101"/>
        <v>-8232.9800000000032</v>
      </c>
      <c r="U536" s="140">
        <f t="shared" si="102"/>
        <v>-0.15180762701957376</v>
      </c>
      <c r="V536" s="322">
        <f t="shared" si="106"/>
        <v>-9000</v>
      </c>
      <c r="W536" s="140">
        <f t="shared" si="103"/>
        <v>-0.16363636363636364</v>
      </c>
      <c r="X536" s="322">
        <f t="shared" si="104"/>
        <v>0</v>
      </c>
      <c r="Y536" s="140">
        <f t="shared" si="105"/>
        <v>0</v>
      </c>
      <c r="Z536" s="519">
        <v>35301.94</v>
      </c>
      <c r="AA536" s="111">
        <f t="shared" si="107"/>
        <v>47069.253333333334</v>
      </c>
      <c r="AB536" s="111">
        <f t="shared" si="108"/>
        <v>-1069.253333333334</v>
      </c>
    </row>
    <row r="537" spans="1:28" ht="25.5" customHeight="1">
      <c r="A537" s="115" t="s">
        <v>2313</v>
      </c>
      <c r="B537" s="124" t="s">
        <v>2293</v>
      </c>
      <c r="C537" s="101" t="s">
        <v>3194</v>
      </c>
      <c r="D537" s="101" t="s">
        <v>3185</v>
      </c>
      <c r="E537" s="554" t="s">
        <v>2315</v>
      </c>
      <c r="F537" s="534" t="s">
        <v>2314</v>
      </c>
      <c r="G537" s="555"/>
      <c r="H537" s="555"/>
      <c r="I537" s="556"/>
      <c r="J537" s="557"/>
      <c r="K537" s="558"/>
      <c r="L537" s="95"/>
      <c r="M537" s="104"/>
      <c r="N537" s="137">
        <v>0</v>
      </c>
      <c r="O537" s="138">
        <v>0</v>
      </c>
      <c r="P537" s="138">
        <v>0</v>
      </c>
      <c r="Q537" s="138">
        <v>0</v>
      </c>
      <c r="R537" s="138">
        <v>0</v>
      </c>
      <c r="S537" s="139">
        <v>0</v>
      </c>
      <c r="T537" s="322">
        <f t="shared" si="101"/>
        <v>0</v>
      </c>
      <c r="U537" s="140" t="str">
        <f t="shared" si="102"/>
        <v/>
      </c>
      <c r="V537" s="322">
        <f t="shared" si="106"/>
        <v>0</v>
      </c>
      <c r="W537" s="140" t="str">
        <f t="shared" si="103"/>
        <v/>
      </c>
      <c r="X537" s="322">
        <f t="shared" si="104"/>
        <v>0</v>
      </c>
      <c r="Y537" s="140" t="str">
        <f t="shared" si="105"/>
        <v/>
      </c>
      <c r="Z537" s="519">
        <v>0</v>
      </c>
      <c r="AA537" s="111">
        <f t="shared" si="107"/>
        <v>0</v>
      </c>
      <c r="AB537" s="111">
        <f t="shared" si="108"/>
        <v>0</v>
      </c>
    </row>
    <row r="538" spans="1:28" ht="25.5" customHeight="1">
      <c r="A538" s="114" t="s">
        <v>2316</v>
      </c>
      <c r="B538" s="125" t="s">
        <v>2293</v>
      </c>
      <c r="C538" s="97" t="s">
        <v>3194</v>
      </c>
      <c r="D538" s="97" t="s">
        <v>3183</v>
      </c>
      <c r="E538" s="540" t="s">
        <v>4230</v>
      </c>
      <c r="F538" s="540" t="s">
        <v>4231</v>
      </c>
      <c r="G538" s="555" t="s">
        <v>1468</v>
      </c>
      <c r="H538" s="555" t="s">
        <v>3232</v>
      </c>
      <c r="I538" s="556" t="s">
        <v>4204</v>
      </c>
      <c r="J538" s="557" t="s">
        <v>208</v>
      </c>
      <c r="K538" s="558" t="s">
        <v>2887</v>
      </c>
      <c r="L538" s="95"/>
      <c r="M538" s="104"/>
      <c r="N538" s="137">
        <v>211102.46</v>
      </c>
      <c r="O538" s="138">
        <v>216000</v>
      </c>
      <c r="P538" s="138">
        <v>160000</v>
      </c>
      <c r="Q538" s="138">
        <v>162000</v>
      </c>
      <c r="R538" s="138">
        <v>163000</v>
      </c>
      <c r="S538" s="139">
        <v>165000</v>
      </c>
      <c r="T538" s="322">
        <f t="shared" si="101"/>
        <v>-49102.459999999992</v>
      </c>
      <c r="U538" s="140">
        <f t="shared" si="102"/>
        <v>-0.23260013170855515</v>
      </c>
      <c r="V538" s="322">
        <f t="shared" si="106"/>
        <v>-54000</v>
      </c>
      <c r="W538" s="140">
        <f t="shared" si="103"/>
        <v>-0.25</v>
      </c>
      <c r="X538" s="322">
        <f t="shared" si="104"/>
        <v>2000</v>
      </c>
      <c r="Y538" s="140">
        <f t="shared" si="105"/>
        <v>1.2500000000000001E-2</v>
      </c>
      <c r="Z538" s="519">
        <v>119614.3</v>
      </c>
      <c r="AA538" s="111">
        <f t="shared" si="107"/>
        <v>159485.73333333334</v>
      </c>
      <c r="AB538" s="111">
        <f t="shared" si="108"/>
        <v>514.26666666666279</v>
      </c>
    </row>
    <row r="539" spans="1:28" ht="25.5" customHeight="1">
      <c r="A539" s="114" t="s">
        <v>3693</v>
      </c>
      <c r="B539" s="125" t="s">
        <v>2293</v>
      </c>
      <c r="C539" s="97" t="s">
        <v>3194</v>
      </c>
      <c r="D539" s="97" t="s">
        <v>2833</v>
      </c>
      <c r="E539" s="540" t="s">
        <v>4232</v>
      </c>
      <c r="F539" s="540" t="s">
        <v>4233</v>
      </c>
      <c r="G539" s="555" t="s">
        <v>1470</v>
      </c>
      <c r="H539" s="555" t="s">
        <v>3234</v>
      </c>
      <c r="I539" s="556" t="s">
        <v>4207</v>
      </c>
      <c r="J539" s="557" t="s">
        <v>208</v>
      </c>
      <c r="K539" s="558" t="s">
        <v>2887</v>
      </c>
      <c r="L539" s="95"/>
      <c r="M539" s="104"/>
      <c r="N539" s="137">
        <v>0</v>
      </c>
      <c r="O539" s="138">
        <v>0</v>
      </c>
      <c r="P539" s="138">
        <v>0</v>
      </c>
      <c r="Q539" s="138">
        <v>0</v>
      </c>
      <c r="R539" s="138">
        <v>0</v>
      </c>
      <c r="S539" s="139">
        <v>0</v>
      </c>
      <c r="T539" s="322">
        <f t="shared" si="101"/>
        <v>0</v>
      </c>
      <c r="U539" s="140" t="str">
        <f t="shared" si="102"/>
        <v/>
      </c>
      <c r="V539" s="322">
        <f t="shared" si="106"/>
        <v>0</v>
      </c>
      <c r="W539" s="140" t="str">
        <f t="shared" si="103"/>
        <v/>
      </c>
      <c r="X539" s="322">
        <f t="shared" si="104"/>
        <v>0</v>
      </c>
      <c r="Y539" s="140" t="str">
        <f t="shared" si="105"/>
        <v/>
      </c>
      <c r="Z539" s="519">
        <v>0</v>
      </c>
      <c r="AA539" s="111">
        <f t="shared" si="107"/>
        <v>0</v>
      </c>
      <c r="AB539" s="111">
        <f t="shared" si="108"/>
        <v>0</v>
      </c>
    </row>
    <row r="540" spans="1:28" ht="25.5" customHeight="1">
      <c r="A540" s="114" t="s">
        <v>2317</v>
      </c>
      <c r="B540" s="125" t="s">
        <v>2293</v>
      </c>
      <c r="C540" s="97" t="s">
        <v>3194</v>
      </c>
      <c r="D540" s="97" t="s">
        <v>3193</v>
      </c>
      <c r="E540" s="540" t="s">
        <v>4234</v>
      </c>
      <c r="F540" s="540" t="s">
        <v>5512</v>
      </c>
      <c r="G540" s="555" t="s">
        <v>1163</v>
      </c>
      <c r="H540" s="555" t="s">
        <v>3236</v>
      </c>
      <c r="I540" s="556" t="s">
        <v>4213</v>
      </c>
      <c r="J540" s="557" t="s">
        <v>2888</v>
      </c>
      <c r="K540" s="558" t="s">
        <v>2889</v>
      </c>
      <c r="L540" s="95"/>
      <c r="M540" s="104"/>
      <c r="N540" s="137">
        <v>17170036.399999999</v>
      </c>
      <c r="O540" s="138">
        <v>17418000</v>
      </c>
      <c r="P540" s="138">
        <v>16466000</v>
      </c>
      <c r="Q540" s="138">
        <v>16640000</v>
      </c>
      <c r="R540" s="138">
        <v>16784000</v>
      </c>
      <c r="S540" s="139">
        <v>16933000</v>
      </c>
      <c r="T540" s="322">
        <f t="shared" si="101"/>
        <v>-530036.39999999851</v>
      </c>
      <c r="U540" s="140">
        <f t="shared" si="102"/>
        <v>-3.0869847194965674E-2</v>
      </c>
      <c r="V540" s="322">
        <f t="shared" si="106"/>
        <v>-778000</v>
      </c>
      <c r="W540" s="140">
        <f t="shared" si="103"/>
        <v>-4.4666437019175567E-2</v>
      </c>
      <c r="X540" s="322">
        <f t="shared" si="104"/>
        <v>174000</v>
      </c>
      <c r="Y540" s="140">
        <f t="shared" si="105"/>
        <v>1.0567229442487549E-2</v>
      </c>
      <c r="Z540" s="519">
        <v>12349849.84</v>
      </c>
      <c r="AA540" s="111">
        <f t="shared" si="107"/>
        <v>16466466.453333333</v>
      </c>
      <c r="AB540" s="111">
        <f t="shared" si="108"/>
        <v>-466.45333333313465</v>
      </c>
    </row>
    <row r="541" spans="1:28" ht="25.5" customHeight="1">
      <c r="A541" s="114" t="s">
        <v>3694</v>
      </c>
      <c r="B541" s="125" t="s">
        <v>2293</v>
      </c>
      <c r="C541" s="97" t="s">
        <v>3194</v>
      </c>
      <c r="D541" s="97" t="s">
        <v>1397</v>
      </c>
      <c r="E541" s="540" t="s">
        <v>4235</v>
      </c>
      <c r="F541" s="540" t="s">
        <v>5513</v>
      </c>
      <c r="G541" s="555" t="s">
        <v>1165</v>
      </c>
      <c r="H541" s="555" t="s">
        <v>3238</v>
      </c>
      <c r="I541" s="556" t="s">
        <v>4215</v>
      </c>
      <c r="J541" s="557" t="s">
        <v>2888</v>
      </c>
      <c r="K541" s="558" t="s">
        <v>2889</v>
      </c>
      <c r="L541" s="95"/>
      <c r="M541" s="104"/>
      <c r="N541" s="137">
        <v>1153806.17</v>
      </c>
      <c r="O541" s="138">
        <v>1159000</v>
      </c>
      <c r="P541" s="138">
        <v>972000</v>
      </c>
      <c r="Q541" s="138">
        <v>977000</v>
      </c>
      <c r="R541" s="138">
        <v>981000</v>
      </c>
      <c r="S541" s="139">
        <v>986000</v>
      </c>
      <c r="T541" s="322">
        <f t="shared" ref="T541:T604" si="109">IF(N541="","",Q541-N541)</f>
        <v>-176806.16999999993</v>
      </c>
      <c r="U541" s="140">
        <f t="shared" ref="U541:U604" si="110">IF(N541=0,"",T541/N541)</f>
        <v>-0.15323732408191224</v>
      </c>
      <c r="V541" s="322">
        <f t="shared" si="106"/>
        <v>-182000</v>
      </c>
      <c r="W541" s="140">
        <f t="shared" ref="W541:W604" si="111">IF(O541=0,"",V541/O541)</f>
        <v>-0.15703192407247626</v>
      </c>
      <c r="X541" s="322">
        <f t="shared" ref="X541:X604" si="112">IF(P541="","",Q541-P541)</f>
        <v>5000</v>
      </c>
      <c r="Y541" s="140">
        <f t="shared" ref="Y541:Y604" si="113">IF(P541=0,"",X541/P541)</f>
        <v>5.1440329218106996E-3</v>
      </c>
      <c r="Z541" s="519">
        <v>729439.44</v>
      </c>
      <c r="AA541" s="111">
        <f t="shared" si="107"/>
        <v>972585.91999999993</v>
      </c>
      <c r="AB541" s="111">
        <f t="shared" si="108"/>
        <v>-585.91999999992549</v>
      </c>
    </row>
    <row r="542" spans="1:28" ht="36.75" customHeight="1">
      <c r="A542" s="114" t="s">
        <v>2318</v>
      </c>
      <c r="B542" s="125" t="s">
        <v>2293</v>
      </c>
      <c r="C542" s="97" t="s">
        <v>3194</v>
      </c>
      <c r="D542" s="97" t="s">
        <v>2631</v>
      </c>
      <c r="E542" s="540" t="s">
        <v>4236</v>
      </c>
      <c r="F542" s="540" t="s">
        <v>4237</v>
      </c>
      <c r="G542" s="555" t="s">
        <v>1468</v>
      </c>
      <c r="H542" s="555" t="s">
        <v>3232</v>
      </c>
      <c r="I542" s="556" t="s">
        <v>4204</v>
      </c>
      <c r="J542" s="557" t="s">
        <v>208</v>
      </c>
      <c r="K542" s="558" t="s">
        <v>2887</v>
      </c>
      <c r="L542" s="95"/>
      <c r="M542" s="104"/>
      <c r="N542" s="137">
        <v>0</v>
      </c>
      <c r="O542" s="138">
        <v>0</v>
      </c>
      <c r="P542" s="138">
        <v>0</v>
      </c>
      <c r="Q542" s="138">
        <v>0</v>
      </c>
      <c r="R542" s="138">
        <v>0</v>
      </c>
      <c r="S542" s="139">
        <v>0</v>
      </c>
      <c r="T542" s="322">
        <f t="shared" si="109"/>
        <v>0</v>
      </c>
      <c r="U542" s="140" t="str">
        <f t="shared" si="110"/>
        <v/>
      </c>
      <c r="V542" s="322">
        <f t="shared" si="106"/>
        <v>0</v>
      </c>
      <c r="W542" s="140" t="str">
        <f t="shared" si="111"/>
        <v/>
      </c>
      <c r="X542" s="322">
        <f t="shared" si="112"/>
        <v>0</v>
      </c>
      <c r="Y542" s="140" t="str">
        <f t="shared" si="113"/>
        <v/>
      </c>
      <c r="Z542" s="519">
        <v>0</v>
      </c>
      <c r="AA542" s="111">
        <f t="shared" si="107"/>
        <v>0</v>
      </c>
      <c r="AB542" s="111">
        <f t="shared" si="108"/>
        <v>0</v>
      </c>
    </row>
    <row r="543" spans="1:28" ht="36.75" customHeight="1">
      <c r="A543" s="114" t="s">
        <v>3695</v>
      </c>
      <c r="B543" s="125" t="s">
        <v>2293</v>
      </c>
      <c r="C543" s="97" t="s">
        <v>3194</v>
      </c>
      <c r="D543" s="97" t="s">
        <v>2834</v>
      </c>
      <c r="E543" s="540" t="s">
        <v>4238</v>
      </c>
      <c r="F543" s="540" t="s">
        <v>4239</v>
      </c>
      <c r="G543" s="555" t="s">
        <v>1470</v>
      </c>
      <c r="H543" s="555" t="s">
        <v>3234</v>
      </c>
      <c r="I543" s="556" t="s">
        <v>4207</v>
      </c>
      <c r="J543" s="557" t="s">
        <v>208</v>
      </c>
      <c r="K543" s="558" t="s">
        <v>2887</v>
      </c>
      <c r="L543" s="95"/>
      <c r="M543" s="104"/>
      <c r="N543" s="137">
        <v>0</v>
      </c>
      <c r="O543" s="138">
        <v>0</v>
      </c>
      <c r="P543" s="138">
        <v>0</v>
      </c>
      <c r="Q543" s="138">
        <v>0</v>
      </c>
      <c r="R543" s="138">
        <v>0</v>
      </c>
      <c r="S543" s="139">
        <v>0</v>
      </c>
      <c r="T543" s="322">
        <f t="shared" si="109"/>
        <v>0</v>
      </c>
      <c r="U543" s="140" t="str">
        <f t="shared" si="110"/>
        <v/>
      </c>
      <c r="V543" s="322">
        <f t="shared" si="106"/>
        <v>0</v>
      </c>
      <c r="W543" s="140" t="str">
        <f t="shared" si="111"/>
        <v/>
      </c>
      <c r="X543" s="322">
        <f t="shared" si="112"/>
        <v>0</v>
      </c>
      <c r="Y543" s="140" t="str">
        <f t="shared" si="113"/>
        <v/>
      </c>
      <c r="Z543" s="519">
        <v>0</v>
      </c>
      <c r="AA543" s="111">
        <f t="shared" si="107"/>
        <v>0</v>
      </c>
      <c r="AB543" s="111">
        <f t="shared" si="108"/>
        <v>0</v>
      </c>
    </row>
    <row r="544" spans="1:28" ht="36.75" customHeight="1">
      <c r="A544" s="114" t="s">
        <v>2319</v>
      </c>
      <c r="B544" s="125" t="s">
        <v>2293</v>
      </c>
      <c r="C544" s="97" t="s">
        <v>3194</v>
      </c>
      <c r="D544" s="97" t="s">
        <v>1404</v>
      </c>
      <c r="E544" s="540" t="s">
        <v>4240</v>
      </c>
      <c r="F544" s="540" t="s">
        <v>5514</v>
      </c>
      <c r="G544" s="555" t="s">
        <v>1163</v>
      </c>
      <c r="H544" s="555" t="s">
        <v>3236</v>
      </c>
      <c r="I544" s="556" t="s">
        <v>4213</v>
      </c>
      <c r="J544" s="557" t="s">
        <v>2888</v>
      </c>
      <c r="K544" s="558" t="s">
        <v>2889</v>
      </c>
      <c r="L544" s="95"/>
      <c r="M544" s="104"/>
      <c r="N544" s="137">
        <v>0</v>
      </c>
      <c r="O544" s="138">
        <v>0</v>
      </c>
      <c r="P544" s="138">
        <v>0</v>
      </c>
      <c r="Q544" s="138">
        <v>0</v>
      </c>
      <c r="R544" s="138">
        <v>0</v>
      </c>
      <c r="S544" s="139">
        <v>0</v>
      </c>
      <c r="T544" s="322">
        <f t="shared" si="109"/>
        <v>0</v>
      </c>
      <c r="U544" s="140" t="str">
        <f t="shared" si="110"/>
        <v/>
      </c>
      <c r="V544" s="322">
        <f t="shared" si="106"/>
        <v>0</v>
      </c>
      <c r="W544" s="140" t="str">
        <f t="shared" si="111"/>
        <v/>
      </c>
      <c r="X544" s="322">
        <f t="shared" si="112"/>
        <v>0</v>
      </c>
      <c r="Y544" s="140" t="str">
        <f t="shared" si="113"/>
        <v/>
      </c>
      <c r="Z544" s="519">
        <v>0</v>
      </c>
      <c r="AA544" s="111">
        <f t="shared" si="107"/>
        <v>0</v>
      </c>
      <c r="AB544" s="111">
        <f t="shared" si="108"/>
        <v>0</v>
      </c>
    </row>
    <row r="545" spans="1:28" ht="36" customHeight="1">
      <c r="A545" s="114" t="s">
        <v>3696</v>
      </c>
      <c r="B545" s="125" t="s">
        <v>2293</v>
      </c>
      <c r="C545" s="97" t="s">
        <v>3194</v>
      </c>
      <c r="D545" s="97" t="s">
        <v>1372</v>
      </c>
      <c r="E545" s="540" t="s">
        <v>4241</v>
      </c>
      <c r="F545" s="540" t="s">
        <v>5515</v>
      </c>
      <c r="G545" s="555" t="s">
        <v>1165</v>
      </c>
      <c r="H545" s="555" t="s">
        <v>3238</v>
      </c>
      <c r="I545" s="556" t="s">
        <v>4215</v>
      </c>
      <c r="J545" s="557" t="s">
        <v>2888</v>
      </c>
      <c r="K545" s="558" t="s">
        <v>2889</v>
      </c>
      <c r="L545" s="95"/>
      <c r="M545" s="104"/>
      <c r="N545" s="137">
        <v>0</v>
      </c>
      <c r="O545" s="138">
        <v>0</v>
      </c>
      <c r="P545" s="138">
        <v>0</v>
      </c>
      <c r="Q545" s="138">
        <v>0</v>
      </c>
      <c r="R545" s="138">
        <v>0</v>
      </c>
      <c r="S545" s="139">
        <v>0</v>
      </c>
      <c r="T545" s="322">
        <f t="shared" si="109"/>
        <v>0</v>
      </c>
      <c r="U545" s="140" t="str">
        <f t="shared" si="110"/>
        <v/>
      </c>
      <c r="V545" s="322">
        <f t="shared" si="106"/>
        <v>0</v>
      </c>
      <c r="W545" s="140" t="str">
        <f t="shared" si="111"/>
        <v/>
      </c>
      <c r="X545" s="322">
        <f t="shared" si="112"/>
        <v>0</v>
      </c>
      <c r="Y545" s="140" t="str">
        <f t="shared" si="113"/>
        <v/>
      </c>
      <c r="Z545" s="519">
        <v>0</v>
      </c>
      <c r="AA545" s="111">
        <f t="shared" si="107"/>
        <v>0</v>
      </c>
      <c r="AB545" s="111">
        <f t="shared" si="108"/>
        <v>0</v>
      </c>
    </row>
    <row r="546" spans="1:28" ht="36.75" customHeight="1">
      <c r="A546" s="115" t="s">
        <v>2320</v>
      </c>
      <c r="B546" s="124" t="s">
        <v>2293</v>
      </c>
      <c r="C546" s="101" t="s">
        <v>2629</v>
      </c>
      <c r="D546" s="101" t="s">
        <v>3185</v>
      </c>
      <c r="E546" s="534" t="s">
        <v>4242</v>
      </c>
      <c r="F546" s="534" t="s">
        <v>4243</v>
      </c>
      <c r="G546" s="555"/>
      <c r="H546" s="555"/>
      <c r="I546" s="556"/>
      <c r="J546" s="557"/>
      <c r="K546" s="558"/>
      <c r="L546" s="95"/>
      <c r="M546" s="104"/>
      <c r="N546" s="137">
        <v>0</v>
      </c>
      <c r="O546" s="138">
        <v>0</v>
      </c>
      <c r="P546" s="138">
        <v>0</v>
      </c>
      <c r="Q546" s="138">
        <v>0</v>
      </c>
      <c r="R546" s="138">
        <v>0</v>
      </c>
      <c r="S546" s="139">
        <v>0</v>
      </c>
      <c r="T546" s="322">
        <f t="shared" si="109"/>
        <v>0</v>
      </c>
      <c r="U546" s="140" t="str">
        <f t="shared" si="110"/>
        <v/>
      </c>
      <c r="V546" s="322">
        <f t="shared" si="106"/>
        <v>0</v>
      </c>
      <c r="W546" s="140" t="str">
        <f t="shared" si="111"/>
        <v/>
      </c>
      <c r="X546" s="322">
        <f t="shared" si="112"/>
        <v>0</v>
      </c>
      <c r="Y546" s="140" t="str">
        <f t="shared" si="113"/>
        <v/>
      </c>
      <c r="Z546" s="519">
        <v>0</v>
      </c>
      <c r="AA546" s="111">
        <f t="shared" si="107"/>
        <v>0</v>
      </c>
      <c r="AB546" s="111">
        <f t="shared" si="108"/>
        <v>0</v>
      </c>
    </row>
    <row r="547" spans="1:28" ht="46.5" customHeight="1">
      <c r="A547" s="114" t="s">
        <v>2321</v>
      </c>
      <c r="B547" s="125" t="s">
        <v>2293</v>
      </c>
      <c r="C547" s="97" t="s">
        <v>2629</v>
      </c>
      <c r="D547" s="97" t="s">
        <v>3183</v>
      </c>
      <c r="E547" s="540" t="s">
        <v>4244</v>
      </c>
      <c r="F547" s="540" t="s">
        <v>5516</v>
      </c>
      <c r="G547" s="555" t="s">
        <v>1468</v>
      </c>
      <c r="H547" s="555" t="s">
        <v>3232</v>
      </c>
      <c r="I547" s="556" t="s">
        <v>4204</v>
      </c>
      <c r="J547" s="557" t="s">
        <v>208</v>
      </c>
      <c r="K547" s="558" t="s">
        <v>2887</v>
      </c>
      <c r="L547" s="95"/>
      <c r="M547" s="104"/>
      <c r="N547" s="137">
        <v>16567.349999999999</v>
      </c>
      <c r="O547" s="138">
        <v>15000</v>
      </c>
      <c r="P547" s="138">
        <v>28000</v>
      </c>
      <c r="Q547" s="138">
        <v>28000</v>
      </c>
      <c r="R547" s="138">
        <v>28000</v>
      </c>
      <c r="S547" s="139">
        <v>28000</v>
      </c>
      <c r="T547" s="322">
        <f t="shared" si="109"/>
        <v>11432.650000000001</v>
      </c>
      <c r="U547" s="140">
        <f t="shared" si="110"/>
        <v>0.69007113388683183</v>
      </c>
      <c r="V547" s="322">
        <f t="shared" si="106"/>
        <v>13000</v>
      </c>
      <c r="W547" s="140">
        <f t="shared" si="111"/>
        <v>0.8666666666666667</v>
      </c>
      <c r="X547" s="322">
        <f t="shared" si="112"/>
        <v>0</v>
      </c>
      <c r="Y547" s="140">
        <f t="shared" si="113"/>
        <v>0</v>
      </c>
      <c r="Z547" s="519">
        <v>21000</v>
      </c>
      <c r="AA547" s="111">
        <f t="shared" si="107"/>
        <v>28000</v>
      </c>
      <c r="AB547" s="111">
        <f t="shared" si="108"/>
        <v>0</v>
      </c>
    </row>
    <row r="548" spans="1:28" ht="46.5" customHeight="1">
      <c r="A548" s="114" t="s">
        <v>3697</v>
      </c>
      <c r="B548" s="125" t="s">
        <v>2293</v>
      </c>
      <c r="C548" s="97" t="s">
        <v>2629</v>
      </c>
      <c r="D548" s="97" t="s">
        <v>2833</v>
      </c>
      <c r="E548" s="540" t="s">
        <v>4245</v>
      </c>
      <c r="F548" s="540" t="s">
        <v>5517</v>
      </c>
      <c r="G548" s="555" t="s">
        <v>1470</v>
      </c>
      <c r="H548" s="555" t="s">
        <v>3234</v>
      </c>
      <c r="I548" s="556" t="s">
        <v>4207</v>
      </c>
      <c r="J548" s="557" t="s">
        <v>208</v>
      </c>
      <c r="K548" s="558" t="s">
        <v>2887</v>
      </c>
      <c r="L548" s="95"/>
      <c r="M548" s="104"/>
      <c r="N548" s="137">
        <v>0</v>
      </c>
      <c r="O548" s="138">
        <v>0</v>
      </c>
      <c r="P548" s="138">
        <v>0</v>
      </c>
      <c r="Q548" s="138">
        <v>0</v>
      </c>
      <c r="R548" s="138">
        <v>0</v>
      </c>
      <c r="S548" s="139">
        <v>0</v>
      </c>
      <c r="T548" s="322">
        <f t="shared" si="109"/>
        <v>0</v>
      </c>
      <c r="U548" s="140" t="str">
        <f t="shared" si="110"/>
        <v/>
      </c>
      <c r="V548" s="322">
        <f t="shared" si="106"/>
        <v>0</v>
      </c>
      <c r="W548" s="140" t="str">
        <f t="shared" si="111"/>
        <v/>
      </c>
      <c r="X548" s="322">
        <f t="shared" si="112"/>
        <v>0</v>
      </c>
      <c r="Y548" s="140" t="str">
        <f t="shared" si="113"/>
        <v/>
      </c>
      <c r="Z548" s="519">
        <v>0</v>
      </c>
      <c r="AA548" s="111">
        <f t="shared" si="107"/>
        <v>0</v>
      </c>
      <c r="AB548" s="111">
        <f t="shared" si="108"/>
        <v>0</v>
      </c>
    </row>
    <row r="549" spans="1:28" ht="46.5" customHeight="1">
      <c r="A549" s="114" t="s">
        <v>2322</v>
      </c>
      <c r="B549" s="125" t="s">
        <v>2293</v>
      </c>
      <c r="C549" s="97" t="s">
        <v>2629</v>
      </c>
      <c r="D549" s="97" t="s">
        <v>2138</v>
      </c>
      <c r="E549" s="540" t="s">
        <v>4246</v>
      </c>
      <c r="F549" s="540" t="s">
        <v>5518</v>
      </c>
      <c r="G549" s="555" t="s">
        <v>1163</v>
      </c>
      <c r="H549" s="555" t="s">
        <v>3236</v>
      </c>
      <c r="I549" s="556" t="s">
        <v>4213</v>
      </c>
      <c r="J549" s="557" t="s">
        <v>2888</v>
      </c>
      <c r="K549" s="558" t="s">
        <v>2889</v>
      </c>
      <c r="L549" s="95"/>
      <c r="M549" s="104"/>
      <c r="N549" s="137">
        <v>1257708.71</v>
      </c>
      <c r="O549" s="138">
        <v>1372000</v>
      </c>
      <c r="P549" s="138">
        <v>1762000</v>
      </c>
      <c r="Q549" s="138">
        <v>1762000</v>
      </c>
      <c r="R549" s="138">
        <v>1762000</v>
      </c>
      <c r="S549" s="139">
        <v>1762000</v>
      </c>
      <c r="T549" s="322">
        <f t="shared" si="109"/>
        <v>504291.29000000004</v>
      </c>
      <c r="U549" s="140">
        <f t="shared" si="110"/>
        <v>0.4009603225217388</v>
      </c>
      <c r="V549" s="322">
        <f t="shared" si="106"/>
        <v>390000</v>
      </c>
      <c r="W549" s="140">
        <f t="shared" si="111"/>
        <v>0.28425655976676384</v>
      </c>
      <c r="X549" s="322">
        <f t="shared" si="112"/>
        <v>0</v>
      </c>
      <c r="Y549" s="140">
        <f t="shared" si="113"/>
        <v>0</v>
      </c>
      <c r="Z549" s="519">
        <v>1322000</v>
      </c>
      <c r="AA549" s="111">
        <f t="shared" si="107"/>
        <v>1762666.6666666667</v>
      </c>
      <c r="AB549" s="111">
        <f t="shared" si="108"/>
        <v>-666.66666666674428</v>
      </c>
    </row>
    <row r="550" spans="1:28" ht="46.5" customHeight="1">
      <c r="A550" s="114" t="s">
        <v>3698</v>
      </c>
      <c r="B550" s="125" t="s">
        <v>2293</v>
      </c>
      <c r="C550" s="97" t="s">
        <v>2629</v>
      </c>
      <c r="D550" s="97" t="s">
        <v>2468</v>
      </c>
      <c r="E550" s="540" t="s">
        <v>5519</v>
      </c>
      <c r="F550" s="540" t="s">
        <v>5520</v>
      </c>
      <c r="G550" s="555" t="s">
        <v>1165</v>
      </c>
      <c r="H550" s="555" t="s">
        <v>3238</v>
      </c>
      <c r="I550" s="556" t="s">
        <v>4215</v>
      </c>
      <c r="J550" s="557" t="s">
        <v>2888</v>
      </c>
      <c r="K550" s="558" t="s">
        <v>2889</v>
      </c>
      <c r="L550" s="95"/>
      <c r="M550" s="104"/>
      <c r="N550" s="137">
        <v>73619.320000000007</v>
      </c>
      <c r="O550" s="138">
        <v>63000</v>
      </c>
      <c r="P550" s="138">
        <v>83000</v>
      </c>
      <c r="Q550" s="138">
        <v>83000</v>
      </c>
      <c r="R550" s="138">
        <v>83000</v>
      </c>
      <c r="S550" s="139">
        <v>83000</v>
      </c>
      <c r="T550" s="322">
        <f t="shared" si="109"/>
        <v>9380.679999999993</v>
      </c>
      <c r="U550" s="140">
        <f t="shared" si="110"/>
        <v>0.12742144317551415</v>
      </c>
      <c r="V550" s="322">
        <f t="shared" si="106"/>
        <v>20000</v>
      </c>
      <c r="W550" s="140">
        <f t="shared" si="111"/>
        <v>0.31746031746031744</v>
      </c>
      <c r="X550" s="322">
        <f t="shared" si="112"/>
        <v>0</v>
      </c>
      <c r="Y550" s="140">
        <f t="shared" si="113"/>
        <v>0</v>
      </c>
      <c r="Z550" s="519">
        <v>62000</v>
      </c>
      <c r="AA550" s="111">
        <f t="shared" si="107"/>
        <v>82666.666666666672</v>
      </c>
      <c r="AB550" s="111">
        <f t="shared" si="108"/>
        <v>333.33333333332848</v>
      </c>
    </row>
    <row r="551" spans="1:28" ht="36.75" customHeight="1">
      <c r="A551" s="114" t="s">
        <v>2323</v>
      </c>
      <c r="B551" s="125" t="s">
        <v>2293</v>
      </c>
      <c r="C551" s="97" t="s">
        <v>2629</v>
      </c>
      <c r="D551" s="97" t="s">
        <v>3193</v>
      </c>
      <c r="E551" s="540" t="s">
        <v>5521</v>
      </c>
      <c r="F551" s="540" t="s">
        <v>4247</v>
      </c>
      <c r="G551" s="555" t="s">
        <v>1468</v>
      </c>
      <c r="H551" s="555" t="s">
        <v>3232</v>
      </c>
      <c r="I551" s="556" t="s">
        <v>4204</v>
      </c>
      <c r="J551" s="557" t="s">
        <v>208</v>
      </c>
      <c r="K551" s="558" t="s">
        <v>2887</v>
      </c>
      <c r="L551" s="95"/>
      <c r="M551" s="104"/>
      <c r="N551" s="137">
        <v>68261.600000000006</v>
      </c>
      <c r="O551" s="138">
        <v>61000</v>
      </c>
      <c r="P551" s="138">
        <v>68000</v>
      </c>
      <c r="Q551" s="138">
        <v>68000</v>
      </c>
      <c r="R551" s="138">
        <v>68000</v>
      </c>
      <c r="S551" s="139">
        <v>68000</v>
      </c>
      <c r="T551" s="322">
        <f t="shared" si="109"/>
        <v>-261.60000000000582</v>
      </c>
      <c r="U551" s="140">
        <f t="shared" si="110"/>
        <v>-3.8323156796794362E-3</v>
      </c>
      <c r="V551" s="322">
        <f t="shared" si="106"/>
        <v>7000</v>
      </c>
      <c r="W551" s="140">
        <f t="shared" si="111"/>
        <v>0.11475409836065574</v>
      </c>
      <c r="X551" s="322">
        <f t="shared" si="112"/>
        <v>0</v>
      </c>
      <c r="Y551" s="140">
        <f t="shared" si="113"/>
        <v>0</v>
      </c>
      <c r="Z551" s="519">
        <v>51000</v>
      </c>
      <c r="AA551" s="111">
        <f t="shared" si="107"/>
        <v>68000</v>
      </c>
      <c r="AB551" s="111">
        <f t="shared" si="108"/>
        <v>0</v>
      </c>
    </row>
    <row r="552" spans="1:28" ht="36.75" customHeight="1">
      <c r="A552" s="114" t="s">
        <v>3699</v>
      </c>
      <c r="B552" s="125" t="s">
        <v>2293</v>
      </c>
      <c r="C552" s="97" t="s">
        <v>2629</v>
      </c>
      <c r="D552" s="97" t="s">
        <v>1397</v>
      </c>
      <c r="E552" s="540" t="s">
        <v>5522</v>
      </c>
      <c r="F552" s="540" t="s">
        <v>4248</v>
      </c>
      <c r="G552" s="555" t="s">
        <v>1470</v>
      </c>
      <c r="H552" s="555" t="s">
        <v>3234</v>
      </c>
      <c r="I552" s="556" t="s">
        <v>4207</v>
      </c>
      <c r="J552" s="557" t="s">
        <v>208</v>
      </c>
      <c r="K552" s="558" t="s">
        <v>2887</v>
      </c>
      <c r="L552" s="95"/>
      <c r="M552" s="104"/>
      <c r="N552" s="137">
        <v>0</v>
      </c>
      <c r="O552" s="138">
        <v>6000</v>
      </c>
      <c r="P552" s="138">
        <v>0</v>
      </c>
      <c r="Q552" s="138">
        <v>0</v>
      </c>
      <c r="R552" s="138">
        <v>0</v>
      </c>
      <c r="S552" s="139">
        <v>0</v>
      </c>
      <c r="T552" s="322">
        <f t="shared" si="109"/>
        <v>0</v>
      </c>
      <c r="U552" s="140" t="str">
        <f t="shared" si="110"/>
        <v/>
      </c>
      <c r="V552" s="322">
        <f t="shared" si="106"/>
        <v>-6000</v>
      </c>
      <c r="W552" s="140">
        <f t="shared" si="111"/>
        <v>-1</v>
      </c>
      <c r="X552" s="322">
        <f t="shared" si="112"/>
        <v>0</v>
      </c>
      <c r="Y552" s="140" t="str">
        <f t="shared" si="113"/>
        <v/>
      </c>
      <c r="Z552" s="519">
        <v>0</v>
      </c>
      <c r="AA552" s="111">
        <f t="shared" si="107"/>
        <v>0</v>
      </c>
      <c r="AB552" s="111">
        <f t="shared" si="108"/>
        <v>0</v>
      </c>
    </row>
    <row r="553" spans="1:28" ht="36.75" customHeight="1">
      <c r="A553" s="114" t="s">
        <v>2324</v>
      </c>
      <c r="B553" s="125" t="s">
        <v>2293</v>
      </c>
      <c r="C553" s="97" t="s">
        <v>2629</v>
      </c>
      <c r="D553" s="97" t="s">
        <v>1401</v>
      </c>
      <c r="E553" s="540" t="s">
        <v>5523</v>
      </c>
      <c r="F553" s="540" t="s">
        <v>5524</v>
      </c>
      <c r="G553" s="555" t="s">
        <v>1163</v>
      </c>
      <c r="H553" s="555" t="s">
        <v>3236</v>
      </c>
      <c r="I553" s="556" t="s">
        <v>4213</v>
      </c>
      <c r="J553" s="557" t="s">
        <v>2888</v>
      </c>
      <c r="K553" s="558" t="s">
        <v>2889</v>
      </c>
      <c r="L553" s="95"/>
      <c r="M553" s="104"/>
      <c r="N553" s="137">
        <v>578383.63</v>
      </c>
      <c r="O553" s="138">
        <v>430000</v>
      </c>
      <c r="P553" s="138">
        <v>578000</v>
      </c>
      <c r="Q553" s="138">
        <v>578000</v>
      </c>
      <c r="R553" s="138">
        <v>578000</v>
      </c>
      <c r="S553" s="139">
        <v>578000</v>
      </c>
      <c r="T553" s="322">
        <f t="shared" si="109"/>
        <v>-383.63000000000466</v>
      </c>
      <c r="U553" s="140">
        <f t="shared" si="110"/>
        <v>-6.6327949150290556E-4</v>
      </c>
      <c r="V553" s="322">
        <f t="shared" si="106"/>
        <v>148000</v>
      </c>
      <c r="W553" s="140">
        <f t="shared" si="111"/>
        <v>0.34418604651162793</v>
      </c>
      <c r="X553" s="322">
        <f t="shared" si="112"/>
        <v>0</v>
      </c>
      <c r="Y553" s="140">
        <f t="shared" si="113"/>
        <v>0</v>
      </c>
      <c r="Z553" s="519">
        <v>434000</v>
      </c>
      <c r="AA553" s="111">
        <f t="shared" si="107"/>
        <v>578666.66666666663</v>
      </c>
      <c r="AB553" s="111">
        <f t="shared" si="108"/>
        <v>-666.66666666662786</v>
      </c>
    </row>
    <row r="554" spans="1:28" ht="36.75" customHeight="1">
      <c r="A554" s="114" t="s">
        <v>3700</v>
      </c>
      <c r="B554" s="125" t="s">
        <v>2293</v>
      </c>
      <c r="C554" s="97" t="s">
        <v>2629</v>
      </c>
      <c r="D554" s="97" t="s">
        <v>1402</v>
      </c>
      <c r="E554" s="540" t="s">
        <v>5525</v>
      </c>
      <c r="F554" s="540" t="s">
        <v>5526</v>
      </c>
      <c r="G554" s="555" t="s">
        <v>1165</v>
      </c>
      <c r="H554" s="555" t="s">
        <v>3238</v>
      </c>
      <c r="I554" s="556" t="s">
        <v>4215</v>
      </c>
      <c r="J554" s="557" t="s">
        <v>2888</v>
      </c>
      <c r="K554" s="558" t="s">
        <v>2889</v>
      </c>
      <c r="L554" s="95"/>
      <c r="M554" s="104"/>
      <c r="N554" s="137">
        <v>34201.629999999997</v>
      </c>
      <c r="O554" s="138">
        <v>28000</v>
      </c>
      <c r="P554" s="138">
        <v>34000</v>
      </c>
      <c r="Q554" s="138">
        <v>34000</v>
      </c>
      <c r="R554" s="138">
        <v>34000</v>
      </c>
      <c r="S554" s="139">
        <v>34000</v>
      </c>
      <c r="T554" s="322">
        <f t="shared" si="109"/>
        <v>-201.62999999999738</v>
      </c>
      <c r="U554" s="140">
        <f t="shared" si="110"/>
        <v>-5.8953330586874776E-3</v>
      </c>
      <c r="V554" s="322">
        <f t="shared" si="106"/>
        <v>6000</v>
      </c>
      <c r="W554" s="140">
        <f t="shared" si="111"/>
        <v>0.21428571428571427</v>
      </c>
      <c r="X554" s="322">
        <f t="shared" si="112"/>
        <v>0</v>
      </c>
      <c r="Y554" s="140">
        <f t="shared" si="113"/>
        <v>0</v>
      </c>
      <c r="Z554" s="519">
        <v>26000</v>
      </c>
      <c r="AA554" s="111">
        <f t="shared" si="107"/>
        <v>34666.666666666664</v>
      </c>
      <c r="AB554" s="111">
        <f t="shared" si="108"/>
        <v>-666.66666666666424</v>
      </c>
    </row>
    <row r="555" spans="1:28" ht="36.75" customHeight="1">
      <c r="A555" s="114" t="s">
        <v>2325</v>
      </c>
      <c r="B555" s="125" t="s">
        <v>2293</v>
      </c>
      <c r="C555" s="97" t="s">
        <v>2629</v>
      </c>
      <c r="D555" s="97" t="s">
        <v>2631</v>
      </c>
      <c r="E555" s="559" t="s">
        <v>5527</v>
      </c>
      <c r="F555" s="540" t="s">
        <v>4249</v>
      </c>
      <c r="G555" s="555" t="s">
        <v>1468</v>
      </c>
      <c r="H555" s="555" t="s">
        <v>3232</v>
      </c>
      <c r="I555" s="556" t="s">
        <v>4204</v>
      </c>
      <c r="J555" s="557" t="s">
        <v>208</v>
      </c>
      <c r="K555" s="558" t="s">
        <v>2887</v>
      </c>
      <c r="L555" s="95"/>
      <c r="M555" s="104"/>
      <c r="N555" s="137">
        <v>22479.67</v>
      </c>
      <c r="O555" s="138">
        <v>21000</v>
      </c>
      <c r="P555" s="138">
        <v>19000</v>
      </c>
      <c r="Q555" s="138">
        <v>19000</v>
      </c>
      <c r="R555" s="138">
        <v>19000</v>
      </c>
      <c r="S555" s="139">
        <v>19000</v>
      </c>
      <c r="T555" s="322">
        <f t="shared" si="109"/>
        <v>-3479.6699999999983</v>
      </c>
      <c r="U555" s="140">
        <f t="shared" si="110"/>
        <v>-0.15479186304781159</v>
      </c>
      <c r="V555" s="322">
        <f t="shared" si="106"/>
        <v>-2000</v>
      </c>
      <c r="W555" s="140">
        <f t="shared" si="111"/>
        <v>-9.5238095238095233E-2</v>
      </c>
      <c r="X555" s="322">
        <f t="shared" si="112"/>
        <v>0</v>
      </c>
      <c r="Y555" s="140">
        <f t="shared" si="113"/>
        <v>0</v>
      </c>
      <c r="Z555" s="519">
        <v>14000</v>
      </c>
      <c r="AA555" s="111">
        <f t="shared" si="107"/>
        <v>18666.666666666668</v>
      </c>
      <c r="AB555" s="111">
        <f t="shared" si="108"/>
        <v>333.33333333333212</v>
      </c>
    </row>
    <row r="556" spans="1:28" ht="36.75" customHeight="1">
      <c r="A556" s="114" t="s">
        <v>3701</v>
      </c>
      <c r="B556" s="125" t="s">
        <v>2293</v>
      </c>
      <c r="C556" s="97" t="s">
        <v>2629</v>
      </c>
      <c r="D556" s="97" t="s">
        <v>2834</v>
      </c>
      <c r="E556" s="559" t="s">
        <v>5528</v>
      </c>
      <c r="F556" s="540" t="s">
        <v>4250</v>
      </c>
      <c r="G556" s="555" t="s">
        <v>1470</v>
      </c>
      <c r="H556" s="555" t="s">
        <v>3234</v>
      </c>
      <c r="I556" s="556" t="s">
        <v>4207</v>
      </c>
      <c r="J556" s="557" t="s">
        <v>208</v>
      </c>
      <c r="K556" s="558" t="s">
        <v>2887</v>
      </c>
      <c r="L556" s="95"/>
      <c r="M556" s="104"/>
      <c r="N556" s="137">
        <v>4824.8599999999997</v>
      </c>
      <c r="O556" s="138">
        <v>0</v>
      </c>
      <c r="P556" s="138">
        <v>10000</v>
      </c>
      <c r="Q556" s="138">
        <v>10000</v>
      </c>
      <c r="R556" s="138">
        <v>10000</v>
      </c>
      <c r="S556" s="139">
        <v>10000</v>
      </c>
      <c r="T556" s="322">
        <f t="shared" si="109"/>
        <v>5175.1400000000003</v>
      </c>
      <c r="U556" s="140">
        <f t="shared" si="110"/>
        <v>1.0725989976911248</v>
      </c>
      <c r="V556" s="322">
        <f t="shared" si="106"/>
        <v>10000</v>
      </c>
      <c r="W556" s="140" t="str">
        <f t="shared" si="111"/>
        <v/>
      </c>
      <c r="X556" s="322">
        <f t="shared" si="112"/>
        <v>0</v>
      </c>
      <c r="Y556" s="140">
        <f t="shared" si="113"/>
        <v>0</v>
      </c>
      <c r="Z556" s="519">
        <v>8000</v>
      </c>
      <c r="AA556" s="111">
        <f t="shared" si="107"/>
        <v>10666.666666666666</v>
      </c>
      <c r="AB556" s="111">
        <f t="shared" si="108"/>
        <v>-666.66666666666606</v>
      </c>
    </row>
    <row r="557" spans="1:28" ht="36.75" customHeight="1">
      <c r="A557" s="114" t="s">
        <v>2326</v>
      </c>
      <c r="B557" s="125" t="s">
        <v>2293</v>
      </c>
      <c r="C557" s="97" t="s">
        <v>2629</v>
      </c>
      <c r="D557" s="97" t="s">
        <v>1552</v>
      </c>
      <c r="E557" s="559" t="s">
        <v>5529</v>
      </c>
      <c r="F557" s="540" t="s">
        <v>5530</v>
      </c>
      <c r="G557" s="555" t="s">
        <v>1163</v>
      </c>
      <c r="H557" s="555" t="s">
        <v>3236</v>
      </c>
      <c r="I557" s="556" t="s">
        <v>4213</v>
      </c>
      <c r="J557" s="557" t="s">
        <v>2888</v>
      </c>
      <c r="K557" s="558" t="s">
        <v>2889</v>
      </c>
      <c r="L557" s="95"/>
      <c r="M557" s="104"/>
      <c r="N557" s="137">
        <v>486564.47</v>
      </c>
      <c r="O557" s="138">
        <v>480000</v>
      </c>
      <c r="P557" s="138">
        <v>569000</v>
      </c>
      <c r="Q557" s="138">
        <v>581000</v>
      </c>
      <c r="R557" s="138">
        <v>599000</v>
      </c>
      <c r="S557" s="139">
        <v>603000</v>
      </c>
      <c r="T557" s="322">
        <f t="shared" si="109"/>
        <v>94435.530000000028</v>
      </c>
      <c r="U557" s="140">
        <f t="shared" si="110"/>
        <v>0.19408636639662577</v>
      </c>
      <c r="V557" s="322">
        <f t="shared" si="106"/>
        <v>101000</v>
      </c>
      <c r="W557" s="140">
        <f t="shared" si="111"/>
        <v>0.21041666666666667</v>
      </c>
      <c r="X557" s="322">
        <f t="shared" si="112"/>
        <v>12000</v>
      </c>
      <c r="Y557" s="140">
        <f t="shared" si="113"/>
        <v>2.10896309314587E-2</v>
      </c>
      <c r="Z557" s="519">
        <v>427000</v>
      </c>
      <c r="AA557" s="111">
        <f t="shared" si="107"/>
        <v>569333.33333333337</v>
      </c>
      <c r="AB557" s="111">
        <f t="shared" si="108"/>
        <v>-333.33333333337214</v>
      </c>
    </row>
    <row r="558" spans="1:28" ht="36.75" customHeight="1">
      <c r="A558" s="114" t="s">
        <v>3702</v>
      </c>
      <c r="B558" s="125" t="s">
        <v>2293</v>
      </c>
      <c r="C558" s="97" t="s">
        <v>2629</v>
      </c>
      <c r="D558" s="97" t="s">
        <v>3196</v>
      </c>
      <c r="E558" s="559" t="s">
        <v>4251</v>
      </c>
      <c r="F558" s="540" t="s">
        <v>5531</v>
      </c>
      <c r="G558" s="555" t="s">
        <v>1165</v>
      </c>
      <c r="H558" s="555" t="s">
        <v>3238</v>
      </c>
      <c r="I558" s="556" t="s">
        <v>4215</v>
      </c>
      <c r="J558" s="557" t="s">
        <v>2888</v>
      </c>
      <c r="K558" s="558" t="s">
        <v>2889</v>
      </c>
      <c r="L558" s="95"/>
      <c r="M558" s="104"/>
      <c r="N558" s="137">
        <v>28572.55</v>
      </c>
      <c r="O558" s="138">
        <v>24000</v>
      </c>
      <c r="P558" s="138">
        <v>29000</v>
      </c>
      <c r="Q558" s="138">
        <v>29000</v>
      </c>
      <c r="R558" s="138">
        <v>29000</v>
      </c>
      <c r="S558" s="139">
        <v>29000</v>
      </c>
      <c r="T558" s="322">
        <f t="shared" si="109"/>
        <v>427.45000000000073</v>
      </c>
      <c r="U558" s="140">
        <f t="shared" si="110"/>
        <v>1.4960162813609592E-2</v>
      </c>
      <c r="V558" s="322">
        <f t="shared" si="106"/>
        <v>5000</v>
      </c>
      <c r="W558" s="140">
        <f t="shared" si="111"/>
        <v>0.20833333333333334</v>
      </c>
      <c r="X558" s="322">
        <f t="shared" si="112"/>
        <v>0</v>
      </c>
      <c r="Y558" s="140">
        <f t="shared" si="113"/>
        <v>0</v>
      </c>
      <c r="Z558" s="519">
        <v>22000</v>
      </c>
      <c r="AA558" s="111">
        <f t="shared" si="107"/>
        <v>29333.333333333332</v>
      </c>
      <c r="AB558" s="111">
        <f t="shared" si="108"/>
        <v>-333.33333333333212</v>
      </c>
    </row>
    <row r="559" spans="1:28" ht="36.75" customHeight="1">
      <c r="A559" s="114" t="s">
        <v>2327</v>
      </c>
      <c r="B559" s="125" t="s">
        <v>2293</v>
      </c>
      <c r="C559" s="97" t="s">
        <v>2629</v>
      </c>
      <c r="D559" s="97" t="s">
        <v>1404</v>
      </c>
      <c r="E559" s="559" t="s">
        <v>4252</v>
      </c>
      <c r="F559" s="540" t="s">
        <v>4253</v>
      </c>
      <c r="G559" s="511" t="s">
        <v>1468</v>
      </c>
      <c r="H559" s="511" t="s">
        <v>3232</v>
      </c>
      <c r="I559" s="544" t="s">
        <v>4204</v>
      </c>
      <c r="J559" s="542" t="s">
        <v>208</v>
      </c>
      <c r="K559" s="543" t="s">
        <v>2887</v>
      </c>
      <c r="L559" s="95"/>
      <c r="M559" s="104"/>
      <c r="N559" s="137">
        <v>0</v>
      </c>
      <c r="O559" s="138">
        <v>0</v>
      </c>
      <c r="P559" s="138">
        <v>0</v>
      </c>
      <c r="Q559" s="138">
        <v>0</v>
      </c>
      <c r="R559" s="138">
        <v>0</v>
      </c>
      <c r="S559" s="139">
        <v>0</v>
      </c>
      <c r="T559" s="322">
        <f t="shared" si="109"/>
        <v>0</v>
      </c>
      <c r="U559" s="140" t="str">
        <f t="shared" si="110"/>
        <v/>
      </c>
      <c r="V559" s="322">
        <f t="shared" si="106"/>
        <v>0</v>
      </c>
      <c r="W559" s="140" t="str">
        <f t="shared" si="111"/>
        <v/>
      </c>
      <c r="X559" s="322">
        <f t="shared" si="112"/>
        <v>0</v>
      </c>
      <c r="Y559" s="140" t="str">
        <f t="shared" si="113"/>
        <v/>
      </c>
      <c r="Z559" s="519">
        <v>0</v>
      </c>
      <c r="AA559" s="111">
        <f t="shared" si="107"/>
        <v>0</v>
      </c>
      <c r="AB559" s="111">
        <f t="shared" si="108"/>
        <v>0</v>
      </c>
    </row>
    <row r="560" spans="1:28" ht="36.75" customHeight="1">
      <c r="A560" s="114" t="s">
        <v>3120</v>
      </c>
      <c r="B560" s="125" t="s">
        <v>2293</v>
      </c>
      <c r="C560" s="97" t="s">
        <v>2629</v>
      </c>
      <c r="D560" s="97" t="s">
        <v>1372</v>
      </c>
      <c r="E560" s="559" t="s">
        <v>4254</v>
      </c>
      <c r="F560" s="540" t="s">
        <v>4255</v>
      </c>
      <c r="G560" s="511" t="s">
        <v>1470</v>
      </c>
      <c r="H560" s="511" t="s">
        <v>3234</v>
      </c>
      <c r="I560" s="544" t="s">
        <v>4207</v>
      </c>
      <c r="J560" s="542" t="s">
        <v>208</v>
      </c>
      <c r="K560" s="543" t="s">
        <v>2887</v>
      </c>
      <c r="L560" s="95"/>
      <c r="M560" s="104"/>
      <c r="N560" s="137">
        <v>18207</v>
      </c>
      <c r="O560" s="138">
        <v>0</v>
      </c>
      <c r="P560" s="138">
        <v>36000</v>
      </c>
      <c r="Q560" s="138">
        <v>36000</v>
      </c>
      <c r="R560" s="138">
        <v>36000</v>
      </c>
      <c r="S560" s="139">
        <v>36000</v>
      </c>
      <c r="T560" s="322">
        <f t="shared" si="109"/>
        <v>17793</v>
      </c>
      <c r="U560" s="140">
        <f t="shared" si="110"/>
        <v>0.97726149283242714</v>
      </c>
      <c r="V560" s="322">
        <f t="shared" si="106"/>
        <v>36000</v>
      </c>
      <c r="W560" s="140" t="str">
        <f t="shared" si="111"/>
        <v/>
      </c>
      <c r="X560" s="322">
        <f t="shared" si="112"/>
        <v>0</v>
      </c>
      <c r="Y560" s="140">
        <f t="shared" si="113"/>
        <v>0</v>
      </c>
      <c r="Z560" s="519">
        <v>27000</v>
      </c>
      <c r="AA560" s="111">
        <f t="shared" si="107"/>
        <v>36000</v>
      </c>
      <c r="AB560" s="111">
        <f t="shared" si="108"/>
        <v>0</v>
      </c>
    </row>
    <row r="561" spans="1:28" ht="36.75" customHeight="1">
      <c r="A561" s="114" t="s">
        <v>2328</v>
      </c>
      <c r="B561" s="125" t="s">
        <v>2293</v>
      </c>
      <c r="C561" s="97" t="s">
        <v>2629</v>
      </c>
      <c r="D561" s="97" t="s">
        <v>1555</v>
      </c>
      <c r="E561" s="559" t="s">
        <v>4359</v>
      </c>
      <c r="F561" s="540" t="s">
        <v>4256</v>
      </c>
      <c r="G561" s="511" t="s">
        <v>1163</v>
      </c>
      <c r="H561" s="511" t="s">
        <v>3236</v>
      </c>
      <c r="I561" s="544" t="s">
        <v>4213</v>
      </c>
      <c r="J561" s="542" t="s">
        <v>2888</v>
      </c>
      <c r="K561" s="543" t="s">
        <v>2889</v>
      </c>
      <c r="L561" s="95"/>
      <c r="M561" s="104"/>
      <c r="N561" s="137">
        <v>0</v>
      </c>
      <c r="O561" s="138">
        <v>9000</v>
      </c>
      <c r="P561" s="138">
        <v>0</v>
      </c>
      <c r="Q561" s="138">
        <v>0</v>
      </c>
      <c r="R561" s="138">
        <v>0</v>
      </c>
      <c r="S561" s="139">
        <v>0</v>
      </c>
      <c r="T561" s="322">
        <f t="shared" si="109"/>
        <v>0</v>
      </c>
      <c r="U561" s="140" t="str">
        <f t="shared" si="110"/>
        <v/>
      </c>
      <c r="V561" s="322">
        <f t="shared" si="106"/>
        <v>-9000</v>
      </c>
      <c r="W561" s="140">
        <f t="shared" si="111"/>
        <v>-1</v>
      </c>
      <c r="X561" s="322">
        <f t="shared" si="112"/>
        <v>0</v>
      </c>
      <c r="Y561" s="140" t="str">
        <f t="shared" si="113"/>
        <v/>
      </c>
      <c r="Z561" s="519">
        <v>0</v>
      </c>
      <c r="AA561" s="111">
        <f t="shared" si="107"/>
        <v>0</v>
      </c>
      <c r="AB561" s="111">
        <f t="shared" si="108"/>
        <v>0</v>
      </c>
    </row>
    <row r="562" spans="1:28" ht="36.75" customHeight="1">
      <c r="A562" s="114" t="s">
        <v>3121</v>
      </c>
      <c r="B562" s="125" t="s">
        <v>2293</v>
      </c>
      <c r="C562" s="97" t="s">
        <v>2629</v>
      </c>
      <c r="D562" s="97" t="s">
        <v>3152</v>
      </c>
      <c r="E562" s="559" t="s">
        <v>4257</v>
      </c>
      <c r="F562" s="540" t="s">
        <v>4258</v>
      </c>
      <c r="G562" s="511" t="s">
        <v>1165</v>
      </c>
      <c r="H562" s="511" t="s">
        <v>3238</v>
      </c>
      <c r="I562" s="544" t="s">
        <v>4215</v>
      </c>
      <c r="J562" s="542" t="s">
        <v>2888</v>
      </c>
      <c r="K562" s="543" t="s">
        <v>2889</v>
      </c>
      <c r="L562" s="95"/>
      <c r="M562" s="104"/>
      <c r="N562" s="137">
        <v>0</v>
      </c>
      <c r="O562" s="138">
        <v>0</v>
      </c>
      <c r="P562" s="138">
        <v>0</v>
      </c>
      <c r="Q562" s="138">
        <v>0</v>
      </c>
      <c r="R562" s="138">
        <v>0</v>
      </c>
      <c r="S562" s="139">
        <v>0</v>
      </c>
      <c r="T562" s="322">
        <f t="shared" si="109"/>
        <v>0</v>
      </c>
      <c r="U562" s="140" t="str">
        <f t="shared" si="110"/>
        <v/>
      </c>
      <c r="V562" s="322">
        <f t="shared" si="106"/>
        <v>0</v>
      </c>
      <c r="W562" s="140" t="str">
        <f t="shared" si="111"/>
        <v/>
      </c>
      <c r="X562" s="322">
        <f t="shared" si="112"/>
        <v>0</v>
      </c>
      <c r="Y562" s="140" t="str">
        <f t="shared" si="113"/>
        <v/>
      </c>
      <c r="Z562" s="519">
        <v>0</v>
      </c>
      <c r="AA562" s="111">
        <f t="shared" si="107"/>
        <v>0</v>
      </c>
      <c r="AB562" s="111">
        <f t="shared" si="108"/>
        <v>0</v>
      </c>
    </row>
    <row r="563" spans="1:28" ht="36.75" customHeight="1">
      <c r="A563" s="114" t="s">
        <v>2329</v>
      </c>
      <c r="B563" s="125" t="s">
        <v>2293</v>
      </c>
      <c r="C563" s="97" t="s">
        <v>2629</v>
      </c>
      <c r="D563" s="97" t="s">
        <v>2291</v>
      </c>
      <c r="E563" s="559" t="s">
        <v>4259</v>
      </c>
      <c r="F563" s="540" t="s">
        <v>4260</v>
      </c>
      <c r="G563" s="512" t="s">
        <v>4886</v>
      </c>
      <c r="H563" s="512" t="s">
        <v>5002</v>
      </c>
      <c r="I563" s="541" t="s">
        <v>5003</v>
      </c>
      <c r="J563" s="576" t="s">
        <v>2909</v>
      </c>
      <c r="K563" s="577" t="s">
        <v>2725</v>
      </c>
      <c r="L563" s="95"/>
      <c r="M563" s="104"/>
      <c r="N563" s="137">
        <v>8549.2900000000009</v>
      </c>
      <c r="O563" s="138">
        <v>5770</v>
      </c>
      <c r="P563" s="138">
        <v>8000</v>
      </c>
      <c r="Q563" s="138">
        <v>8000</v>
      </c>
      <c r="R563" s="138">
        <v>8000</v>
      </c>
      <c r="S563" s="139">
        <v>8000</v>
      </c>
      <c r="T563" s="322">
        <f t="shared" si="109"/>
        <v>-549.29000000000087</v>
      </c>
      <c r="U563" s="140">
        <f t="shared" si="110"/>
        <v>-6.42497798062764E-2</v>
      </c>
      <c r="V563" s="322">
        <f t="shared" si="106"/>
        <v>2230</v>
      </c>
      <c r="W563" s="140">
        <f t="shared" si="111"/>
        <v>0.38648180242634317</v>
      </c>
      <c r="X563" s="322">
        <f t="shared" si="112"/>
        <v>0</v>
      </c>
      <c r="Y563" s="140">
        <f t="shared" si="113"/>
        <v>0</v>
      </c>
      <c r="Z563" s="519">
        <v>6000</v>
      </c>
      <c r="AA563" s="111">
        <f t="shared" si="107"/>
        <v>8000</v>
      </c>
      <c r="AB563" s="111">
        <f t="shared" si="108"/>
        <v>0</v>
      </c>
    </row>
    <row r="564" spans="1:28" ht="36.75" customHeight="1">
      <c r="A564" s="114" t="s">
        <v>3122</v>
      </c>
      <c r="B564" s="125" t="s">
        <v>2293</v>
      </c>
      <c r="C564" s="97" t="s">
        <v>2629</v>
      </c>
      <c r="D564" s="97" t="s">
        <v>2632</v>
      </c>
      <c r="E564" s="559" t="s">
        <v>4261</v>
      </c>
      <c r="F564" s="540" t="s">
        <v>4262</v>
      </c>
      <c r="G564" s="512" t="s">
        <v>4886</v>
      </c>
      <c r="H564" s="512" t="s">
        <v>5002</v>
      </c>
      <c r="I564" s="541" t="s">
        <v>5003</v>
      </c>
      <c r="J564" s="576" t="s">
        <v>2909</v>
      </c>
      <c r="K564" s="577" t="s">
        <v>2725</v>
      </c>
      <c r="L564" s="95"/>
      <c r="M564" s="104"/>
      <c r="N564" s="137">
        <v>0</v>
      </c>
      <c r="O564" s="138">
        <v>0</v>
      </c>
      <c r="P564" s="138">
        <v>0</v>
      </c>
      <c r="Q564" s="138">
        <v>0</v>
      </c>
      <c r="R564" s="138">
        <v>0</v>
      </c>
      <c r="S564" s="139">
        <v>0</v>
      </c>
      <c r="T564" s="322">
        <f t="shared" si="109"/>
        <v>0</v>
      </c>
      <c r="U564" s="140" t="str">
        <f t="shared" si="110"/>
        <v/>
      </c>
      <c r="V564" s="322">
        <f t="shared" si="106"/>
        <v>0</v>
      </c>
      <c r="W564" s="140" t="str">
        <f t="shared" si="111"/>
        <v/>
      </c>
      <c r="X564" s="322">
        <f t="shared" si="112"/>
        <v>0</v>
      </c>
      <c r="Y564" s="140" t="str">
        <f t="shared" si="113"/>
        <v/>
      </c>
      <c r="Z564" s="519">
        <v>0</v>
      </c>
      <c r="AA564" s="111">
        <f t="shared" si="107"/>
        <v>0</v>
      </c>
      <c r="AB564" s="111">
        <f t="shared" si="108"/>
        <v>0</v>
      </c>
    </row>
    <row r="565" spans="1:28" ht="36.75" customHeight="1">
      <c r="A565" s="114" t="s">
        <v>2330</v>
      </c>
      <c r="B565" s="125" t="s">
        <v>2293</v>
      </c>
      <c r="C565" s="97" t="s">
        <v>2629</v>
      </c>
      <c r="D565" s="97" t="s">
        <v>80</v>
      </c>
      <c r="E565" s="559" t="s">
        <v>4263</v>
      </c>
      <c r="F565" s="540" t="s">
        <v>5532</v>
      </c>
      <c r="G565" s="512" t="s">
        <v>4886</v>
      </c>
      <c r="H565" s="512" t="s">
        <v>5002</v>
      </c>
      <c r="I565" s="541" t="s">
        <v>5003</v>
      </c>
      <c r="J565" s="576" t="s">
        <v>2909</v>
      </c>
      <c r="K565" s="577" t="s">
        <v>2725</v>
      </c>
      <c r="L565" s="95"/>
      <c r="M565" s="104"/>
      <c r="N565" s="137">
        <v>1252449.1599999999</v>
      </c>
      <c r="O565" s="138">
        <v>501210</v>
      </c>
      <c r="P565" s="138">
        <v>1252000</v>
      </c>
      <c r="Q565" s="138">
        <v>1252000</v>
      </c>
      <c r="R565" s="138">
        <v>1252000</v>
      </c>
      <c r="S565" s="139">
        <v>1252000</v>
      </c>
      <c r="T565" s="322">
        <f t="shared" si="109"/>
        <v>-449.15999999991618</v>
      </c>
      <c r="U565" s="140">
        <f t="shared" si="110"/>
        <v>-3.5862533533889408E-4</v>
      </c>
      <c r="V565" s="322">
        <f t="shared" si="106"/>
        <v>750790</v>
      </c>
      <c r="W565" s="140">
        <f t="shared" si="111"/>
        <v>1.4979549490233635</v>
      </c>
      <c r="X565" s="322">
        <f t="shared" si="112"/>
        <v>0</v>
      </c>
      <c r="Y565" s="140">
        <f t="shared" si="113"/>
        <v>0</v>
      </c>
      <c r="Z565" s="519">
        <v>939000</v>
      </c>
      <c r="AA565" s="111">
        <f t="shared" si="107"/>
        <v>1252000</v>
      </c>
      <c r="AB565" s="111">
        <f t="shared" si="108"/>
        <v>0</v>
      </c>
    </row>
    <row r="566" spans="1:28" ht="36.75" customHeight="1">
      <c r="A566" s="114" t="s">
        <v>3123</v>
      </c>
      <c r="B566" s="125" t="s">
        <v>2293</v>
      </c>
      <c r="C566" s="97" t="s">
        <v>2629</v>
      </c>
      <c r="D566" s="97" t="s">
        <v>3413</v>
      </c>
      <c r="E566" s="559" t="s">
        <v>4264</v>
      </c>
      <c r="F566" s="540" t="s">
        <v>5533</v>
      </c>
      <c r="G566" s="512" t="s">
        <v>4886</v>
      </c>
      <c r="H566" s="512" t="s">
        <v>5002</v>
      </c>
      <c r="I566" s="541" t="s">
        <v>5003</v>
      </c>
      <c r="J566" s="576" t="s">
        <v>2909</v>
      </c>
      <c r="K566" s="577" t="s">
        <v>2725</v>
      </c>
      <c r="L566" s="95"/>
      <c r="M566" s="104"/>
      <c r="N566" s="137">
        <v>14843.87</v>
      </c>
      <c r="O566" s="138">
        <v>30320</v>
      </c>
      <c r="P566" s="138">
        <v>14000</v>
      </c>
      <c r="Q566" s="138">
        <v>14000</v>
      </c>
      <c r="R566" s="138">
        <v>14000</v>
      </c>
      <c r="S566" s="139">
        <v>14000</v>
      </c>
      <c r="T566" s="322">
        <f t="shared" si="109"/>
        <v>-843.8700000000008</v>
      </c>
      <c r="U566" s="140">
        <f t="shared" si="110"/>
        <v>-5.6849729888499477E-2</v>
      </c>
      <c r="V566" s="322">
        <f t="shared" si="106"/>
        <v>-16320</v>
      </c>
      <c r="W566" s="140">
        <f t="shared" si="111"/>
        <v>-0.53825857519788922</v>
      </c>
      <c r="X566" s="322">
        <f t="shared" si="112"/>
        <v>0</v>
      </c>
      <c r="Y566" s="140">
        <f t="shared" si="113"/>
        <v>0</v>
      </c>
      <c r="Z566" s="519">
        <v>11000</v>
      </c>
      <c r="AA566" s="111">
        <f t="shared" si="107"/>
        <v>14666.666666666666</v>
      </c>
      <c r="AB566" s="111">
        <f t="shared" si="108"/>
        <v>-666.66666666666606</v>
      </c>
    </row>
    <row r="567" spans="1:28" ht="21">
      <c r="A567" s="113" t="s">
        <v>2331</v>
      </c>
      <c r="B567" s="135" t="s">
        <v>3191</v>
      </c>
      <c r="C567" s="136" t="s">
        <v>3184</v>
      </c>
      <c r="D567" s="136" t="s">
        <v>3185</v>
      </c>
      <c r="E567" s="529" t="s">
        <v>2333</v>
      </c>
      <c r="F567" s="529" t="s">
        <v>2332</v>
      </c>
      <c r="G567" s="530"/>
      <c r="H567" s="530"/>
      <c r="I567" s="531"/>
      <c r="J567" s="532"/>
      <c r="K567" s="533"/>
      <c r="L567" s="95"/>
      <c r="M567" s="147"/>
      <c r="N567" s="137">
        <v>0</v>
      </c>
      <c r="O567" s="138">
        <v>0</v>
      </c>
      <c r="P567" s="138">
        <v>0</v>
      </c>
      <c r="Q567" s="138">
        <v>0</v>
      </c>
      <c r="R567" s="138">
        <v>0</v>
      </c>
      <c r="S567" s="139">
        <v>0</v>
      </c>
      <c r="T567" s="322">
        <f t="shared" si="109"/>
        <v>0</v>
      </c>
      <c r="U567" s="140" t="str">
        <f t="shared" si="110"/>
        <v/>
      </c>
      <c r="V567" s="322">
        <f t="shared" si="106"/>
        <v>0</v>
      </c>
      <c r="W567" s="140" t="str">
        <f t="shared" si="111"/>
        <v/>
      </c>
      <c r="X567" s="322">
        <f t="shared" si="112"/>
        <v>0</v>
      </c>
      <c r="Y567" s="140" t="str">
        <f t="shared" si="113"/>
        <v/>
      </c>
      <c r="Z567" s="519">
        <v>0</v>
      </c>
      <c r="AA567" s="111">
        <f t="shared" si="107"/>
        <v>0</v>
      </c>
      <c r="AB567" s="111">
        <f t="shared" si="108"/>
        <v>0</v>
      </c>
    </row>
    <row r="568" spans="1:28" ht="26.25" customHeight="1">
      <c r="A568" s="115" t="s">
        <v>2334</v>
      </c>
      <c r="B568" s="124" t="s">
        <v>3191</v>
      </c>
      <c r="C568" s="101" t="s">
        <v>3186</v>
      </c>
      <c r="D568" s="101" t="s">
        <v>3185</v>
      </c>
      <c r="E568" s="554" t="s">
        <v>2336</v>
      </c>
      <c r="F568" s="534" t="s">
        <v>2335</v>
      </c>
      <c r="G568" s="555"/>
      <c r="H568" s="555"/>
      <c r="I568" s="556"/>
      <c r="J568" s="557"/>
      <c r="K568" s="558"/>
      <c r="L568" s="95"/>
      <c r="M568" s="104"/>
      <c r="N568" s="137">
        <v>0</v>
      </c>
      <c r="O568" s="138">
        <v>0</v>
      </c>
      <c r="P568" s="138">
        <v>0</v>
      </c>
      <c r="Q568" s="138">
        <v>0</v>
      </c>
      <c r="R568" s="138">
        <v>0</v>
      </c>
      <c r="S568" s="139">
        <v>0</v>
      </c>
      <c r="T568" s="322">
        <f t="shared" si="109"/>
        <v>0</v>
      </c>
      <c r="U568" s="140" t="str">
        <f t="shared" si="110"/>
        <v/>
      </c>
      <c r="V568" s="322">
        <f t="shared" si="106"/>
        <v>0</v>
      </c>
      <c r="W568" s="140" t="str">
        <f t="shared" si="111"/>
        <v/>
      </c>
      <c r="X568" s="322">
        <f t="shared" si="112"/>
        <v>0</v>
      </c>
      <c r="Y568" s="140" t="str">
        <f t="shared" si="113"/>
        <v/>
      </c>
      <c r="Z568" s="519">
        <v>0</v>
      </c>
      <c r="AA568" s="111">
        <f t="shared" si="107"/>
        <v>0</v>
      </c>
      <c r="AB568" s="111">
        <f t="shared" si="108"/>
        <v>0</v>
      </c>
    </row>
    <row r="569" spans="1:28" ht="26.25" customHeight="1">
      <c r="A569" s="114" t="s">
        <v>2337</v>
      </c>
      <c r="B569" s="125" t="s">
        <v>3191</v>
      </c>
      <c r="C569" s="97" t="s">
        <v>3186</v>
      </c>
      <c r="D569" s="97" t="s">
        <v>3183</v>
      </c>
      <c r="E569" s="559" t="s">
        <v>4265</v>
      </c>
      <c r="F569" s="540" t="s">
        <v>4266</v>
      </c>
      <c r="G569" s="555" t="s">
        <v>1173</v>
      </c>
      <c r="H569" s="555" t="s">
        <v>3124</v>
      </c>
      <c r="I569" s="556" t="s">
        <v>4267</v>
      </c>
      <c r="J569" s="557" t="s">
        <v>208</v>
      </c>
      <c r="K569" s="558" t="s">
        <v>2887</v>
      </c>
      <c r="L569" s="95"/>
      <c r="M569" s="104"/>
      <c r="N569" s="137">
        <v>4062023.74</v>
      </c>
      <c r="O569" s="138">
        <v>4163000</v>
      </c>
      <c r="P569" s="138">
        <v>4221000</v>
      </c>
      <c r="Q569" s="138">
        <v>4256000</v>
      </c>
      <c r="R569" s="138">
        <v>4278000</v>
      </c>
      <c r="S569" s="139">
        <v>4313000</v>
      </c>
      <c r="T569" s="322">
        <f t="shared" si="109"/>
        <v>193976.25999999978</v>
      </c>
      <c r="U569" s="140">
        <f t="shared" si="110"/>
        <v>4.7753600770437589E-2</v>
      </c>
      <c r="V569" s="322">
        <f t="shared" si="106"/>
        <v>93000</v>
      </c>
      <c r="W569" s="140">
        <f t="shared" si="111"/>
        <v>2.2339658899831853E-2</v>
      </c>
      <c r="X569" s="322">
        <f t="shared" si="112"/>
        <v>35000</v>
      </c>
      <c r="Y569" s="140">
        <f t="shared" si="113"/>
        <v>8.291873963515755E-3</v>
      </c>
      <c r="Z569" s="519">
        <v>3165500.67</v>
      </c>
      <c r="AA569" s="111">
        <f t="shared" si="107"/>
        <v>4220667.5599999996</v>
      </c>
      <c r="AB569" s="111">
        <f t="shared" si="108"/>
        <v>332.44000000040978</v>
      </c>
    </row>
    <row r="570" spans="1:28" ht="26.25" customHeight="1">
      <c r="A570" s="114" t="s">
        <v>3125</v>
      </c>
      <c r="B570" s="125" t="s">
        <v>3191</v>
      </c>
      <c r="C570" s="97" t="s">
        <v>3186</v>
      </c>
      <c r="D570" s="97" t="s">
        <v>2833</v>
      </c>
      <c r="E570" s="559" t="s">
        <v>4268</v>
      </c>
      <c r="F570" s="540" t="s">
        <v>4269</v>
      </c>
      <c r="G570" s="555" t="s">
        <v>1175</v>
      </c>
      <c r="H570" s="555" t="s">
        <v>3126</v>
      </c>
      <c r="I570" s="556" t="s">
        <v>4270</v>
      </c>
      <c r="J570" s="557" t="s">
        <v>208</v>
      </c>
      <c r="K570" s="558" t="s">
        <v>2887</v>
      </c>
      <c r="L570" s="95"/>
      <c r="M570" s="104"/>
      <c r="N570" s="137">
        <v>129451.62</v>
      </c>
      <c r="O570" s="138">
        <v>102000</v>
      </c>
      <c r="P570" s="138">
        <v>110000</v>
      </c>
      <c r="Q570" s="138">
        <v>110000</v>
      </c>
      <c r="R570" s="138">
        <v>111000</v>
      </c>
      <c r="S570" s="139">
        <v>111000</v>
      </c>
      <c r="T570" s="322">
        <f t="shared" si="109"/>
        <v>-19451.619999999995</v>
      </c>
      <c r="U570" s="140">
        <f t="shared" si="110"/>
        <v>-0.1502616962228823</v>
      </c>
      <c r="V570" s="322">
        <f t="shared" si="106"/>
        <v>8000</v>
      </c>
      <c r="W570" s="140">
        <f t="shared" si="111"/>
        <v>7.8431372549019607E-2</v>
      </c>
      <c r="X570" s="322">
        <f t="shared" si="112"/>
        <v>0</v>
      </c>
      <c r="Y570" s="140">
        <f t="shared" si="113"/>
        <v>0</v>
      </c>
      <c r="Z570" s="519">
        <v>82889.89</v>
      </c>
      <c r="AA570" s="111">
        <f t="shared" si="107"/>
        <v>110519.85333333333</v>
      </c>
      <c r="AB570" s="111">
        <f t="shared" si="108"/>
        <v>-519.85333333333256</v>
      </c>
    </row>
    <row r="571" spans="1:28" ht="36.75" customHeight="1">
      <c r="A571" s="114" t="s">
        <v>1606</v>
      </c>
      <c r="B571" s="125" t="s">
        <v>3191</v>
      </c>
      <c r="C571" s="97" t="s">
        <v>3186</v>
      </c>
      <c r="D571" s="97" t="s">
        <v>3193</v>
      </c>
      <c r="E571" s="559" t="s">
        <v>4271</v>
      </c>
      <c r="F571" s="540" t="s">
        <v>4272</v>
      </c>
      <c r="G571" s="555" t="s">
        <v>1173</v>
      </c>
      <c r="H571" s="555" t="s">
        <v>3124</v>
      </c>
      <c r="I571" s="556" t="s">
        <v>4267</v>
      </c>
      <c r="J571" s="557" t="s">
        <v>208</v>
      </c>
      <c r="K571" s="558" t="s">
        <v>2887</v>
      </c>
      <c r="L571" s="95"/>
      <c r="M571" s="104"/>
      <c r="N571" s="137">
        <v>0</v>
      </c>
      <c r="O571" s="138">
        <v>0</v>
      </c>
      <c r="P571" s="138">
        <v>0</v>
      </c>
      <c r="Q571" s="138">
        <v>0</v>
      </c>
      <c r="R571" s="138">
        <v>0</v>
      </c>
      <c r="S571" s="139">
        <v>0</v>
      </c>
      <c r="T571" s="322">
        <f t="shared" si="109"/>
        <v>0</v>
      </c>
      <c r="U571" s="140" t="str">
        <f t="shared" si="110"/>
        <v/>
      </c>
      <c r="V571" s="322">
        <f t="shared" si="106"/>
        <v>0</v>
      </c>
      <c r="W571" s="140" t="str">
        <f t="shared" si="111"/>
        <v/>
      </c>
      <c r="X571" s="322">
        <f t="shared" si="112"/>
        <v>0</v>
      </c>
      <c r="Y571" s="140" t="str">
        <f t="shared" si="113"/>
        <v/>
      </c>
      <c r="Z571" s="519">
        <v>0</v>
      </c>
      <c r="AA571" s="111">
        <f t="shared" si="107"/>
        <v>0</v>
      </c>
      <c r="AB571" s="111">
        <f t="shared" si="108"/>
        <v>0</v>
      </c>
    </row>
    <row r="572" spans="1:28" ht="36.75" customHeight="1">
      <c r="A572" s="114" t="s">
        <v>3127</v>
      </c>
      <c r="B572" s="125" t="s">
        <v>3191</v>
      </c>
      <c r="C572" s="97" t="s">
        <v>3186</v>
      </c>
      <c r="D572" s="97" t="s">
        <v>1397</v>
      </c>
      <c r="E572" s="559" t="s">
        <v>4273</v>
      </c>
      <c r="F572" s="540" t="s">
        <v>4274</v>
      </c>
      <c r="G572" s="555" t="s">
        <v>1175</v>
      </c>
      <c r="H572" s="555" t="s">
        <v>3126</v>
      </c>
      <c r="I572" s="556" t="s">
        <v>4270</v>
      </c>
      <c r="J572" s="557" t="s">
        <v>208</v>
      </c>
      <c r="K572" s="558" t="s">
        <v>2887</v>
      </c>
      <c r="L572" s="95"/>
      <c r="M572" s="104"/>
      <c r="N572" s="137">
        <v>0</v>
      </c>
      <c r="O572" s="138">
        <v>0</v>
      </c>
      <c r="P572" s="138">
        <v>0</v>
      </c>
      <c r="Q572" s="138">
        <v>0</v>
      </c>
      <c r="R572" s="138">
        <v>0</v>
      </c>
      <c r="S572" s="139">
        <v>0</v>
      </c>
      <c r="T572" s="322">
        <f t="shared" si="109"/>
        <v>0</v>
      </c>
      <c r="U572" s="140" t="str">
        <f t="shared" si="110"/>
        <v/>
      </c>
      <c r="V572" s="322">
        <f t="shared" si="106"/>
        <v>0</v>
      </c>
      <c r="W572" s="140" t="str">
        <f t="shared" si="111"/>
        <v/>
      </c>
      <c r="X572" s="322">
        <f t="shared" si="112"/>
        <v>0</v>
      </c>
      <c r="Y572" s="140" t="str">
        <f t="shared" si="113"/>
        <v/>
      </c>
      <c r="Z572" s="519">
        <v>0</v>
      </c>
      <c r="AA572" s="111">
        <f t="shared" si="107"/>
        <v>0</v>
      </c>
      <c r="AB572" s="111">
        <f t="shared" si="108"/>
        <v>0</v>
      </c>
    </row>
    <row r="573" spans="1:28" ht="26.25" customHeight="1">
      <c r="A573" s="114" t="s">
        <v>1607</v>
      </c>
      <c r="B573" s="125" t="s">
        <v>3191</v>
      </c>
      <c r="C573" s="97" t="s">
        <v>3186</v>
      </c>
      <c r="D573" s="97" t="s">
        <v>2631</v>
      </c>
      <c r="E573" s="559" t="s">
        <v>4275</v>
      </c>
      <c r="F573" s="540" t="s">
        <v>5534</v>
      </c>
      <c r="G573" s="555" t="s">
        <v>1181</v>
      </c>
      <c r="H573" s="555" t="s">
        <v>3128</v>
      </c>
      <c r="I573" s="556" t="s">
        <v>4276</v>
      </c>
      <c r="J573" s="557" t="s">
        <v>2888</v>
      </c>
      <c r="K573" s="558" t="s">
        <v>2889</v>
      </c>
      <c r="L573" s="95"/>
      <c r="M573" s="104"/>
      <c r="N573" s="137">
        <v>29698454.379999999</v>
      </c>
      <c r="O573" s="138">
        <v>30177000</v>
      </c>
      <c r="P573" s="138">
        <v>30535000</v>
      </c>
      <c r="Q573" s="138">
        <v>31467000</v>
      </c>
      <c r="R573" s="138">
        <v>31978000</v>
      </c>
      <c r="S573" s="139">
        <v>32335000</v>
      </c>
      <c r="T573" s="322">
        <f t="shared" si="109"/>
        <v>1768545.620000001</v>
      </c>
      <c r="U573" s="140">
        <f t="shared" si="110"/>
        <v>5.9550089623216312E-2</v>
      </c>
      <c r="V573" s="322">
        <f t="shared" si="106"/>
        <v>1290000</v>
      </c>
      <c r="W573" s="140">
        <f t="shared" si="111"/>
        <v>4.2747788050502035E-2</v>
      </c>
      <c r="X573" s="322">
        <f t="shared" si="112"/>
        <v>932000</v>
      </c>
      <c r="Y573" s="140">
        <f t="shared" si="113"/>
        <v>3.052235140003275E-2</v>
      </c>
      <c r="Z573" s="519">
        <v>22901014.420000002</v>
      </c>
      <c r="AA573" s="111">
        <f t="shared" si="107"/>
        <v>30534685.893333334</v>
      </c>
      <c r="AB573" s="111">
        <f t="shared" si="108"/>
        <v>314.10666666552424</v>
      </c>
    </row>
    <row r="574" spans="1:28" ht="26.25" customHeight="1">
      <c r="A574" s="114" t="s">
        <v>3129</v>
      </c>
      <c r="B574" s="125" t="s">
        <v>3191</v>
      </c>
      <c r="C574" s="97" t="s">
        <v>3186</v>
      </c>
      <c r="D574" s="97" t="s">
        <v>2834</v>
      </c>
      <c r="E574" s="559" t="s">
        <v>4277</v>
      </c>
      <c r="F574" s="540" t="s">
        <v>5535</v>
      </c>
      <c r="G574" s="555" t="s">
        <v>1183</v>
      </c>
      <c r="H574" s="555" t="s">
        <v>3130</v>
      </c>
      <c r="I574" s="556" t="s">
        <v>4278</v>
      </c>
      <c r="J574" s="557" t="s">
        <v>2888</v>
      </c>
      <c r="K574" s="558" t="s">
        <v>2889</v>
      </c>
      <c r="L574" s="95"/>
      <c r="M574" s="104"/>
      <c r="N574" s="137">
        <v>1883783.31</v>
      </c>
      <c r="O574" s="138">
        <v>2079000</v>
      </c>
      <c r="P574" s="138">
        <v>1866000</v>
      </c>
      <c r="Q574" s="138">
        <v>2155000</v>
      </c>
      <c r="R574" s="138">
        <v>2312000</v>
      </c>
      <c r="S574" s="139">
        <v>2354000</v>
      </c>
      <c r="T574" s="322">
        <f t="shared" si="109"/>
        <v>271216.68999999994</v>
      </c>
      <c r="U574" s="140">
        <f t="shared" si="110"/>
        <v>0.14397446275283113</v>
      </c>
      <c r="V574" s="322">
        <f t="shared" si="106"/>
        <v>76000</v>
      </c>
      <c r="W574" s="140">
        <f t="shared" si="111"/>
        <v>3.6556036556036557E-2</v>
      </c>
      <c r="X574" s="322">
        <f t="shared" si="112"/>
        <v>289000</v>
      </c>
      <c r="Y574" s="140">
        <f t="shared" si="113"/>
        <v>0.15487674169346194</v>
      </c>
      <c r="Z574" s="519">
        <v>1420576.43</v>
      </c>
      <c r="AA574" s="111">
        <f t="shared" si="107"/>
        <v>1894101.9066666665</v>
      </c>
      <c r="AB574" s="111">
        <f t="shared" si="108"/>
        <v>-28101.906666666502</v>
      </c>
    </row>
    <row r="575" spans="1:28" ht="36.75" customHeight="1">
      <c r="A575" s="114" t="s">
        <v>1608</v>
      </c>
      <c r="B575" s="125" t="s">
        <v>3191</v>
      </c>
      <c r="C575" s="97" t="s">
        <v>3186</v>
      </c>
      <c r="D575" s="97" t="s">
        <v>1404</v>
      </c>
      <c r="E575" s="559" t="s">
        <v>4279</v>
      </c>
      <c r="F575" s="540" t="s">
        <v>5536</v>
      </c>
      <c r="G575" s="555" t="s">
        <v>1181</v>
      </c>
      <c r="H575" s="555" t="s">
        <v>3128</v>
      </c>
      <c r="I575" s="556" t="s">
        <v>4276</v>
      </c>
      <c r="J575" s="557" t="s">
        <v>2888</v>
      </c>
      <c r="K575" s="558" t="s">
        <v>2889</v>
      </c>
      <c r="L575" s="95"/>
      <c r="M575" s="104"/>
      <c r="N575" s="137">
        <v>5998.02</v>
      </c>
      <c r="O575" s="138">
        <v>2000</v>
      </c>
      <c r="P575" s="138">
        <v>0</v>
      </c>
      <c r="Q575" s="138">
        <v>0</v>
      </c>
      <c r="R575" s="138">
        <v>0</v>
      </c>
      <c r="S575" s="139">
        <v>0</v>
      </c>
      <c r="T575" s="322">
        <f t="shared" si="109"/>
        <v>-5998.02</v>
      </c>
      <c r="U575" s="140">
        <f t="shared" si="110"/>
        <v>-1</v>
      </c>
      <c r="V575" s="322">
        <f t="shared" si="106"/>
        <v>-2000</v>
      </c>
      <c r="W575" s="140">
        <f t="shared" si="111"/>
        <v>-1</v>
      </c>
      <c r="X575" s="322">
        <f t="shared" si="112"/>
        <v>0</v>
      </c>
      <c r="Y575" s="140" t="str">
        <f t="shared" si="113"/>
        <v/>
      </c>
      <c r="Z575" s="519">
        <v>-135.28</v>
      </c>
      <c r="AA575" s="111">
        <f t="shared" si="107"/>
        <v>-180.37333333333333</v>
      </c>
      <c r="AB575" s="111">
        <f t="shared" si="108"/>
        <v>180.37333333333333</v>
      </c>
    </row>
    <row r="576" spans="1:28" ht="36.75" customHeight="1">
      <c r="A576" s="114" t="s">
        <v>3131</v>
      </c>
      <c r="B576" s="125" t="s">
        <v>3191</v>
      </c>
      <c r="C576" s="97" t="s">
        <v>3186</v>
      </c>
      <c r="D576" s="97" t="s">
        <v>1372</v>
      </c>
      <c r="E576" s="559" t="s">
        <v>4280</v>
      </c>
      <c r="F576" s="540" t="s">
        <v>5537</v>
      </c>
      <c r="G576" s="555" t="s">
        <v>1183</v>
      </c>
      <c r="H576" s="555" t="s">
        <v>3130</v>
      </c>
      <c r="I576" s="556" t="s">
        <v>4278</v>
      </c>
      <c r="J576" s="557" t="s">
        <v>2888</v>
      </c>
      <c r="K576" s="558" t="s">
        <v>2889</v>
      </c>
      <c r="L576" s="95"/>
      <c r="M576" s="104"/>
      <c r="N576" s="137">
        <v>0</v>
      </c>
      <c r="O576" s="138">
        <v>0</v>
      </c>
      <c r="P576" s="138">
        <v>0</v>
      </c>
      <c r="Q576" s="138">
        <v>0</v>
      </c>
      <c r="R576" s="138">
        <v>0</v>
      </c>
      <c r="S576" s="139">
        <v>0</v>
      </c>
      <c r="T576" s="322">
        <f t="shared" si="109"/>
        <v>0</v>
      </c>
      <c r="U576" s="140" t="str">
        <f t="shared" si="110"/>
        <v/>
      </c>
      <c r="V576" s="322">
        <f t="shared" si="106"/>
        <v>0</v>
      </c>
      <c r="W576" s="140" t="str">
        <f t="shared" si="111"/>
        <v/>
      </c>
      <c r="X576" s="322">
        <f t="shared" si="112"/>
        <v>0</v>
      </c>
      <c r="Y576" s="140" t="str">
        <f t="shared" si="113"/>
        <v/>
      </c>
      <c r="Z576" s="519">
        <v>0</v>
      </c>
      <c r="AA576" s="111">
        <f t="shared" si="107"/>
        <v>0</v>
      </c>
      <c r="AB576" s="111">
        <f t="shared" si="108"/>
        <v>0</v>
      </c>
    </row>
    <row r="577" spans="1:28" ht="26.25" customHeight="1">
      <c r="A577" s="117" t="s">
        <v>1609</v>
      </c>
      <c r="B577" s="127" t="s">
        <v>3191</v>
      </c>
      <c r="C577" s="99" t="s">
        <v>3187</v>
      </c>
      <c r="D577" s="99" t="s">
        <v>3185</v>
      </c>
      <c r="E577" s="534" t="s">
        <v>1611</v>
      </c>
      <c r="F577" s="534" t="s">
        <v>1610</v>
      </c>
      <c r="G577" s="555"/>
      <c r="H577" s="555"/>
      <c r="I577" s="556"/>
      <c r="J577" s="557"/>
      <c r="K577" s="558"/>
      <c r="L577" s="95"/>
      <c r="M577" s="104"/>
      <c r="N577" s="137">
        <v>0</v>
      </c>
      <c r="O577" s="138">
        <v>0</v>
      </c>
      <c r="P577" s="138">
        <v>0</v>
      </c>
      <c r="Q577" s="138">
        <v>0</v>
      </c>
      <c r="R577" s="138">
        <v>0</v>
      </c>
      <c r="S577" s="139">
        <v>0</v>
      </c>
      <c r="T577" s="322">
        <f t="shared" si="109"/>
        <v>0</v>
      </c>
      <c r="U577" s="140" t="str">
        <f t="shared" si="110"/>
        <v/>
      </c>
      <c r="V577" s="322">
        <f t="shared" si="106"/>
        <v>0</v>
      </c>
      <c r="W577" s="140" t="str">
        <f t="shared" si="111"/>
        <v/>
      </c>
      <c r="X577" s="322">
        <f t="shared" si="112"/>
        <v>0</v>
      </c>
      <c r="Y577" s="140" t="str">
        <f t="shared" si="113"/>
        <v/>
      </c>
      <c r="Z577" s="519">
        <v>0</v>
      </c>
      <c r="AA577" s="111">
        <f t="shared" si="107"/>
        <v>0</v>
      </c>
      <c r="AB577" s="111">
        <f t="shared" si="108"/>
        <v>0</v>
      </c>
    </row>
    <row r="578" spans="1:28" ht="26.25" customHeight="1">
      <c r="A578" s="116" t="s">
        <v>1612</v>
      </c>
      <c r="B578" s="126" t="s">
        <v>3191</v>
      </c>
      <c r="C578" s="98" t="s">
        <v>3187</v>
      </c>
      <c r="D578" s="98" t="s">
        <v>3183</v>
      </c>
      <c r="E578" s="540" t="s">
        <v>4281</v>
      </c>
      <c r="F578" s="540" t="s">
        <v>4282</v>
      </c>
      <c r="G578" s="555" t="s">
        <v>1173</v>
      </c>
      <c r="H578" s="555" t="s">
        <v>3124</v>
      </c>
      <c r="I578" s="556" t="s">
        <v>4267</v>
      </c>
      <c r="J578" s="557" t="s">
        <v>208</v>
      </c>
      <c r="K578" s="558" t="s">
        <v>2887</v>
      </c>
      <c r="L578" s="95"/>
      <c r="M578" s="104"/>
      <c r="N578" s="137">
        <v>177253.45</v>
      </c>
      <c r="O578" s="138">
        <v>172000</v>
      </c>
      <c r="P578" s="138">
        <v>172000</v>
      </c>
      <c r="Q578" s="138">
        <v>172000</v>
      </c>
      <c r="R578" s="138">
        <v>172000</v>
      </c>
      <c r="S578" s="139">
        <v>172000</v>
      </c>
      <c r="T578" s="322">
        <f t="shared" si="109"/>
        <v>-5253.4500000000116</v>
      </c>
      <c r="U578" s="140">
        <f t="shared" si="110"/>
        <v>-2.9638069103873642E-2</v>
      </c>
      <c r="V578" s="322">
        <f t="shared" si="106"/>
        <v>0</v>
      </c>
      <c r="W578" s="140">
        <f t="shared" si="111"/>
        <v>0</v>
      </c>
      <c r="X578" s="322">
        <f t="shared" si="112"/>
        <v>0</v>
      </c>
      <c r="Y578" s="140">
        <f t="shared" si="113"/>
        <v>0</v>
      </c>
      <c r="Z578" s="519">
        <v>128679.78</v>
      </c>
      <c r="AA578" s="111">
        <f t="shared" si="107"/>
        <v>171573.04</v>
      </c>
      <c r="AB578" s="111">
        <f t="shared" si="108"/>
        <v>426.95999999999185</v>
      </c>
    </row>
    <row r="579" spans="1:28" ht="26.25" customHeight="1">
      <c r="A579" s="116" t="s">
        <v>3132</v>
      </c>
      <c r="B579" s="126" t="s">
        <v>3191</v>
      </c>
      <c r="C579" s="98" t="s">
        <v>3187</v>
      </c>
      <c r="D579" s="98" t="s">
        <v>2833</v>
      </c>
      <c r="E579" s="540" t="s">
        <v>4283</v>
      </c>
      <c r="F579" s="540" t="s">
        <v>4284</v>
      </c>
      <c r="G579" s="555" t="s">
        <v>1175</v>
      </c>
      <c r="H579" s="555" t="s">
        <v>3126</v>
      </c>
      <c r="I579" s="556" t="s">
        <v>4270</v>
      </c>
      <c r="J579" s="557" t="s">
        <v>208</v>
      </c>
      <c r="K579" s="558" t="s">
        <v>2887</v>
      </c>
      <c r="L579" s="95"/>
      <c r="M579" s="104"/>
      <c r="N579" s="137">
        <v>28</v>
      </c>
      <c r="O579" s="138">
        <v>0</v>
      </c>
      <c r="P579" s="138">
        <v>0</v>
      </c>
      <c r="Q579" s="138">
        <v>0</v>
      </c>
      <c r="R579" s="138">
        <v>0</v>
      </c>
      <c r="S579" s="139">
        <v>0</v>
      </c>
      <c r="T579" s="322">
        <f t="shared" si="109"/>
        <v>-28</v>
      </c>
      <c r="U579" s="140">
        <f t="shared" si="110"/>
        <v>-1</v>
      </c>
      <c r="V579" s="322">
        <f t="shared" si="106"/>
        <v>0</v>
      </c>
      <c r="W579" s="140" t="str">
        <f t="shared" si="111"/>
        <v/>
      </c>
      <c r="X579" s="322">
        <f t="shared" si="112"/>
        <v>0</v>
      </c>
      <c r="Y579" s="140" t="str">
        <f t="shared" si="113"/>
        <v/>
      </c>
      <c r="Z579" s="519">
        <v>10.5</v>
      </c>
      <c r="AA579" s="111">
        <f t="shared" si="107"/>
        <v>14</v>
      </c>
      <c r="AB579" s="111">
        <f t="shared" si="108"/>
        <v>-14</v>
      </c>
    </row>
    <row r="580" spans="1:28" ht="26.25" customHeight="1">
      <c r="A580" s="116" t="s">
        <v>1613</v>
      </c>
      <c r="B580" s="126" t="s">
        <v>3191</v>
      </c>
      <c r="C580" s="98" t="s">
        <v>3187</v>
      </c>
      <c r="D580" s="98" t="s">
        <v>3193</v>
      </c>
      <c r="E580" s="540" t="s">
        <v>4285</v>
      </c>
      <c r="F580" s="540" t="s">
        <v>5538</v>
      </c>
      <c r="G580" s="555" t="s">
        <v>1181</v>
      </c>
      <c r="H580" s="555" t="s">
        <v>3128</v>
      </c>
      <c r="I580" s="556" t="s">
        <v>4276</v>
      </c>
      <c r="J580" s="557" t="s">
        <v>2888</v>
      </c>
      <c r="K580" s="558" t="s">
        <v>2889</v>
      </c>
      <c r="L580" s="95"/>
      <c r="M580" s="104"/>
      <c r="N580" s="137">
        <v>331779.31</v>
      </c>
      <c r="O580" s="138">
        <v>333000</v>
      </c>
      <c r="P580" s="138">
        <v>333000</v>
      </c>
      <c r="Q580" s="138">
        <v>333000</v>
      </c>
      <c r="R580" s="138">
        <v>333000</v>
      </c>
      <c r="S580" s="139">
        <v>333000</v>
      </c>
      <c r="T580" s="322">
        <f t="shared" si="109"/>
        <v>1220.6900000000023</v>
      </c>
      <c r="U580" s="140">
        <f t="shared" si="110"/>
        <v>3.6792227942122201E-3</v>
      </c>
      <c r="V580" s="322">
        <f t="shared" si="106"/>
        <v>0</v>
      </c>
      <c r="W580" s="140">
        <f t="shared" si="111"/>
        <v>0</v>
      </c>
      <c r="X580" s="322">
        <f t="shared" si="112"/>
        <v>0</v>
      </c>
      <c r="Y580" s="140">
        <f t="shared" si="113"/>
        <v>0</v>
      </c>
      <c r="Z580" s="519">
        <v>249854.22</v>
      </c>
      <c r="AA580" s="111">
        <f t="shared" si="107"/>
        <v>333138.96000000002</v>
      </c>
      <c r="AB580" s="111">
        <f t="shared" si="108"/>
        <v>-138.96000000002095</v>
      </c>
    </row>
    <row r="581" spans="1:28" ht="26.25" customHeight="1">
      <c r="A581" s="116" t="s">
        <v>3133</v>
      </c>
      <c r="B581" s="126" t="s">
        <v>3191</v>
      </c>
      <c r="C581" s="98" t="s">
        <v>3187</v>
      </c>
      <c r="D581" s="98" t="s">
        <v>1397</v>
      </c>
      <c r="E581" s="540" t="s">
        <v>4286</v>
      </c>
      <c r="F581" s="540" t="s">
        <v>5539</v>
      </c>
      <c r="G581" s="555" t="s">
        <v>1183</v>
      </c>
      <c r="H581" s="555" t="s">
        <v>3130</v>
      </c>
      <c r="I581" s="556" t="s">
        <v>4278</v>
      </c>
      <c r="J581" s="557" t="s">
        <v>2888</v>
      </c>
      <c r="K581" s="558" t="s">
        <v>2889</v>
      </c>
      <c r="L581" s="95"/>
      <c r="M581" s="104"/>
      <c r="N581" s="137">
        <v>9221.69</v>
      </c>
      <c r="O581" s="138">
        <v>12000</v>
      </c>
      <c r="P581" s="138">
        <v>12000</v>
      </c>
      <c r="Q581" s="138">
        <v>12000</v>
      </c>
      <c r="R581" s="138">
        <v>12000</v>
      </c>
      <c r="S581" s="139">
        <v>12000</v>
      </c>
      <c r="T581" s="322">
        <f t="shared" si="109"/>
        <v>2778.3099999999995</v>
      </c>
      <c r="U581" s="140">
        <f t="shared" si="110"/>
        <v>0.30127991723859721</v>
      </c>
      <c r="V581" s="322">
        <f t="shared" si="106"/>
        <v>0</v>
      </c>
      <c r="W581" s="140">
        <f t="shared" si="111"/>
        <v>0</v>
      </c>
      <c r="X581" s="322">
        <f t="shared" si="112"/>
        <v>0</v>
      </c>
      <c r="Y581" s="140">
        <f t="shared" si="113"/>
        <v>0</v>
      </c>
      <c r="Z581" s="519">
        <v>8909.33</v>
      </c>
      <c r="AA581" s="111">
        <f t="shared" si="107"/>
        <v>11879.106666666667</v>
      </c>
      <c r="AB581" s="111">
        <f t="shared" si="108"/>
        <v>120.89333333333343</v>
      </c>
    </row>
    <row r="582" spans="1:28" ht="26.25" customHeight="1">
      <c r="A582" s="117" t="s">
        <v>1614</v>
      </c>
      <c r="B582" s="127" t="s">
        <v>3191</v>
      </c>
      <c r="C582" s="99" t="s">
        <v>3189</v>
      </c>
      <c r="D582" s="99" t="s">
        <v>3185</v>
      </c>
      <c r="E582" s="534" t="s">
        <v>1616</v>
      </c>
      <c r="F582" s="534" t="s">
        <v>1615</v>
      </c>
      <c r="G582" s="555"/>
      <c r="H582" s="555"/>
      <c r="I582" s="556"/>
      <c r="J582" s="557"/>
      <c r="K582" s="558"/>
      <c r="L582" s="95"/>
      <c r="M582" s="104"/>
      <c r="N582" s="137">
        <v>0</v>
      </c>
      <c r="O582" s="138">
        <v>0</v>
      </c>
      <c r="P582" s="138">
        <v>0</v>
      </c>
      <c r="Q582" s="138">
        <v>0</v>
      </c>
      <c r="R582" s="138">
        <v>0</v>
      </c>
      <c r="S582" s="139">
        <v>0</v>
      </c>
      <c r="T582" s="322">
        <f t="shared" si="109"/>
        <v>0</v>
      </c>
      <c r="U582" s="140" t="str">
        <f t="shared" si="110"/>
        <v/>
      </c>
      <c r="V582" s="322">
        <f t="shared" si="106"/>
        <v>0</v>
      </c>
      <c r="W582" s="140" t="str">
        <f t="shared" si="111"/>
        <v/>
      </c>
      <c r="X582" s="322">
        <f t="shared" si="112"/>
        <v>0</v>
      </c>
      <c r="Y582" s="140" t="str">
        <f t="shared" si="113"/>
        <v/>
      </c>
      <c r="Z582" s="519">
        <v>0</v>
      </c>
      <c r="AA582" s="111">
        <f t="shared" si="107"/>
        <v>0</v>
      </c>
      <c r="AB582" s="111">
        <f t="shared" si="108"/>
        <v>0</v>
      </c>
    </row>
    <row r="583" spans="1:28" ht="36.75" customHeight="1">
      <c r="A583" s="116" t="s">
        <v>1617</v>
      </c>
      <c r="B583" s="126" t="s">
        <v>3191</v>
      </c>
      <c r="C583" s="98" t="s">
        <v>3189</v>
      </c>
      <c r="D583" s="98" t="s">
        <v>3183</v>
      </c>
      <c r="E583" s="540" t="s">
        <v>4287</v>
      </c>
      <c r="F583" s="540" t="s">
        <v>4288</v>
      </c>
      <c r="G583" s="555" t="s">
        <v>1173</v>
      </c>
      <c r="H583" s="555" t="s">
        <v>3124</v>
      </c>
      <c r="I583" s="556" t="s">
        <v>4267</v>
      </c>
      <c r="J583" s="557" t="s">
        <v>208</v>
      </c>
      <c r="K583" s="558" t="s">
        <v>2887</v>
      </c>
      <c r="L583" s="95"/>
      <c r="M583" s="104"/>
      <c r="N583" s="137">
        <v>248387.26</v>
      </c>
      <c r="O583" s="138">
        <v>249000</v>
      </c>
      <c r="P583" s="138">
        <v>288000</v>
      </c>
      <c r="Q583" s="138">
        <v>288000</v>
      </c>
      <c r="R583" s="138">
        <v>288000</v>
      </c>
      <c r="S583" s="139">
        <v>288000</v>
      </c>
      <c r="T583" s="322">
        <f t="shared" si="109"/>
        <v>39612.739999999991</v>
      </c>
      <c r="U583" s="140">
        <f t="shared" si="110"/>
        <v>0.15947975753667876</v>
      </c>
      <c r="V583" s="322">
        <f t="shared" si="106"/>
        <v>39000</v>
      </c>
      <c r="W583" s="140">
        <f t="shared" si="111"/>
        <v>0.15662650602409639</v>
      </c>
      <c r="X583" s="322">
        <f t="shared" si="112"/>
        <v>0</v>
      </c>
      <c r="Y583" s="140">
        <f t="shared" si="113"/>
        <v>0</v>
      </c>
      <c r="Z583" s="519">
        <v>215900.57</v>
      </c>
      <c r="AA583" s="111">
        <f t="shared" si="107"/>
        <v>287867.4266666667</v>
      </c>
      <c r="AB583" s="111">
        <f t="shared" si="108"/>
        <v>132.57333333330462</v>
      </c>
    </row>
    <row r="584" spans="1:28" ht="36.75" customHeight="1">
      <c r="A584" s="116" t="s">
        <v>3134</v>
      </c>
      <c r="B584" s="126" t="s">
        <v>3191</v>
      </c>
      <c r="C584" s="98" t="s">
        <v>3189</v>
      </c>
      <c r="D584" s="98" t="s">
        <v>2833</v>
      </c>
      <c r="E584" s="540" t="s">
        <v>4289</v>
      </c>
      <c r="F584" s="540" t="s">
        <v>4290</v>
      </c>
      <c r="G584" s="555" t="s">
        <v>1175</v>
      </c>
      <c r="H584" s="555" t="s">
        <v>3126</v>
      </c>
      <c r="I584" s="556" t="s">
        <v>4270</v>
      </c>
      <c r="J584" s="557" t="s">
        <v>208</v>
      </c>
      <c r="K584" s="558" t="s">
        <v>2887</v>
      </c>
      <c r="L584" s="95"/>
      <c r="M584" s="104"/>
      <c r="N584" s="137">
        <v>9042.7999999999993</v>
      </c>
      <c r="O584" s="138">
        <v>9000</v>
      </c>
      <c r="P584" s="138">
        <v>9000</v>
      </c>
      <c r="Q584" s="138">
        <v>9000</v>
      </c>
      <c r="R584" s="138">
        <v>9000</v>
      </c>
      <c r="S584" s="139">
        <v>9000</v>
      </c>
      <c r="T584" s="322">
        <f t="shared" si="109"/>
        <v>-42.799999999999272</v>
      </c>
      <c r="U584" s="140">
        <f t="shared" si="110"/>
        <v>-4.7330472862386957E-3</v>
      </c>
      <c r="V584" s="322">
        <f t="shared" si="106"/>
        <v>0</v>
      </c>
      <c r="W584" s="140">
        <f t="shared" si="111"/>
        <v>0</v>
      </c>
      <c r="X584" s="322">
        <f t="shared" si="112"/>
        <v>0</v>
      </c>
      <c r="Y584" s="140">
        <f t="shared" si="113"/>
        <v>0</v>
      </c>
      <c r="Z584" s="519">
        <v>6776.4</v>
      </c>
      <c r="AA584" s="111">
        <f t="shared" si="107"/>
        <v>9035.1999999999989</v>
      </c>
      <c r="AB584" s="111">
        <f t="shared" si="108"/>
        <v>-35.199999999998909</v>
      </c>
    </row>
    <row r="585" spans="1:28" ht="36.75" customHeight="1">
      <c r="A585" s="116" t="s">
        <v>1618</v>
      </c>
      <c r="B585" s="126" t="s">
        <v>3191</v>
      </c>
      <c r="C585" s="98" t="s">
        <v>3189</v>
      </c>
      <c r="D585" s="98" t="s">
        <v>3193</v>
      </c>
      <c r="E585" s="540" t="s">
        <v>4291</v>
      </c>
      <c r="F585" s="540" t="s">
        <v>5540</v>
      </c>
      <c r="G585" s="555" t="s">
        <v>1181</v>
      </c>
      <c r="H585" s="555" t="s">
        <v>3128</v>
      </c>
      <c r="I585" s="556" t="s">
        <v>4276</v>
      </c>
      <c r="J585" s="557" t="s">
        <v>2888</v>
      </c>
      <c r="K585" s="558" t="s">
        <v>2889</v>
      </c>
      <c r="L585" s="95"/>
      <c r="M585" s="104"/>
      <c r="N585" s="137">
        <v>1186400.6000000001</v>
      </c>
      <c r="O585" s="138">
        <v>1193000</v>
      </c>
      <c r="P585" s="138">
        <v>1323000</v>
      </c>
      <c r="Q585" s="138">
        <v>1323000</v>
      </c>
      <c r="R585" s="138">
        <v>1323000</v>
      </c>
      <c r="S585" s="139">
        <v>1323000</v>
      </c>
      <c r="T585" s="322">
        <f t="shared" si="109"/>
        <v>136599.39999999991</v>
      </c>
      <c r="U585" s="140">
        <f t="shared" si="110"/>
        <v>0.11513766935047057</v>
      </c>
      <c r="V585" s="322">
        <f t="shared" ref="V585:V648" si="114">IF(O585="","",Q585-O585)</f>
        <v>130000</v>
      </c>
      <c r="W585" s="140">
        <f t="shared" si="111"/>
        <v>0.10896898575020955</v>
      </c>
      <c r="X585" s="322">
        <f t="shared" si="112"/>
        <v>0</v>
      </c>
      <c r="Y585" s="140">
        <f t="shared" si="113"/>
        <v>0</v>
      </c>
      <c r="Z585" s="519">
        <v>971588.75</v>
      </c>
      <c r="AA585" s="111">
        <f t="shared" ref="AA585:AA648" si="115">Z585/3*4</f>
        <v>1295451.6666666667</v>
      </c>
      <c r="AB585" s="111">
        <f t="shared" ref="AB585:AB648" si="116">P585-AA585</f>
        <v>27548.333333333256</v>
      </c>
    </row>
    <row r="586" spans="1:28" ht="36.75" customHeight="1">
      <c r="A586" s="116" t="s">
        <v>3135</v>
      </c>
      <c r="B586" s="126" t="s">
        <v>3191</v>
      </c>
      <c r="C586" s="98" t="s">
        <v>3189</v>
      </c>
      <c r="D586" s="98" t="s">
        <v>1397</v>
      </c>
      <c r="E586" s="540" t="s">
        <v>4292</v>
      </c>
      <c r="F586" s="540" t="s">
        <v>5541</v>
      </c>
      <c r="G586" s="555" t="s">
        <v>1183</v>
      </c>
      <c r="H586" s="555" t="s">
        <v>3130</v>
      </c>
      <c r="I586" s="556" t="s">
        <v>4278</v>
      </c>
      <c r="J586" s="557" t="s">
        <v>2888</v>
      </c>
      <c r="K586" s="558" t="s">
        <v>2889</v>
      </c>
      <c r="L586" s="95"/>
      <c r="M586" s="104"/>
      <c r="N586" s="137">
        <v>32842.67</v>
      </c>
      <c r="O586" s="138">
        <v>35000</v>
      </c>
      <c r="P586" s="138">
        <v>32000</v>
      </c>
      <c r="Q586" s="138">
        <v>32000</v>
      </c>
      <c r="R586" s="138">
        <v>32000</v>
      </c>
      <c r="S586" s="139">
        <v>32000</v>
      </c>
      <c r="T586" s="322">
        <f t="shared" si="109"/>
        <v>-842.66999999999825</v>
      </c>
      <c r="U586" s="140">
        <f t="shared" si="110"/>
        <v>-2.5657779955161938E-2</v>
      </c>
      <c r="V586" s="322">
        <f t="shared" si="114"/>
        <v>-3000</v>
      </c>
      <c r="W586" s="140">
        <f t="shared" si="111"/>
        <v>-8.5714285714285715E-2</v>
      </c>
      <c r="X586" s="322">
        <f t="shared" si="112"/>
        <v>0</v>
      </c>
      <c r="Y586" s="140">
        <f t="shared" si="113"/>
        <v>0</v>
      </c>
      <c r="Z586" s="519">
        <v>23824.53</v>
      </c>
      <c r="AA586" s="111">
        <f t="shared" si="115"/>
        <v>31766.039999999997</v>
      </c>
      <c r="AB586" s="111">
        <f t="shared" si="116"/>
        <v>233.96000000000276</v>
      </c>
    </row>
    <row r="587" spans="1:28" ht="25.5" customHeight="1">
      <c r="A587" s="117" t="s">
        <v>1619</v>
      </c>
      <c r="B587" s="127" t="s">
        <v>3191</v>
      </c>
      <c r="C587" s="99" t="s">
        <v>3194</v>
      </c>
      <c r="D587" s="99" t="s">
        <v>3185</v>
      </c>
      <c r="E587" s="554" t="s">
        <v>1621</v>
      </c>
      <c r="F587" s="554" t="s">
        <v>1620</v>
      </c>
      <c r="G587" s="555"/>
      <c r="H587" s="555"/>
      <c r="I587" s="556"/>
      <c r="J587" s="557"/>
      <c r="K587" s="558"/>
      <c r="L587" s="95"/>
      <c r="M587" s="104"/>
      <c r="N587" s="137">
        <v>0</v>
      </c>
      <c r="O587" s="138">
        <v>0</v>
      </c>
      <c r="P587" s="138">
        <v>0</v>
      </c>
      <c r="Q587" s="138">
        <v>0</v>
      </c>
      <c r="R587" s="138">
        <v>0</v>
      </c>
      <c r="S587" s="139">
        <v>0</v>
      </c>
      <c r="T587" s="322">
        <f t="shared" si="109"/>
        <v>0</v>
      </c>
      <c r="U587" s="140" t="str">
        <f t="shared" si="110"/>
        <v/>
      </c>
      <c r="V587" s="322">
        <f t="shared" si="114"/>
        <v>0</v>
      </c>
      <c r="W587" s="140" t="str">
        <f t="shared" si="111"/>
        <v/>
      </c>
      <c r="X587" s="322">
        <f t="shared" si="112"/>
        <v>0</v>
      </c>
      <c r="Y587" s="140" t="str">
        <f t="shared" si="113"/>
        <v/>
      </c>
      <c r="Z587" s="519">
        <v>0</v>
      </c>
      <c r="AA587" s="111">
        <f t="shared" si="115"/>
        <v>0</v>
      </c>
      <c r="AB587" s="111">
        <f t="shared" si="116"/>
        <v>0</v>
      </c>
    </row>
    <row r="588" spans="1:28" ht="25.5" customHeight="1">
      <c r="A588" s="116" t="s">
        <v>1622</v>
      </c>
      <c r="B588" s="126" t="s">
        <v>3191</v>
      </c>
      <c r="C588" s="98" t="s">
        <v>3194</v>
      </c>
      <c r="D588" s="98" t="s">
        <v>3183</v>
      </c>
      <c r="E588" s="540" t="s">
        <v>4293</v>
      </c>
      <c r="F588" s="540" t="s">
        <v>4294</v>
      </c>
      <c r="G588" s="555" t="s">
        <v>1173</v>
      </c>
      <c r="H588" s="555" t="s">
        <v>3124</v>
      </c>
      <c r="I588" s="556" t="s">
        <v>4267</v>
      </c>
      <c r="J588" s="557" t="s">
        <v>208</v>
      </c>
      <c r="K588" s="558" t="s">
        <v>2887</v>
      </c>
      <c r="L588" s="95"/>
      <c r="M588" s="104"/>
      <c r="N588" s="137">
        <v>1380281.29</v>
      </c>
      <c r="O588" s="138">
        <v>1534000</v>
      </c>
      <c r="P588" s="138">
        <v>1411000</v>
      </c>
      <c r="Q588" s="138">
        <v>1422000</v>
      </c>
      <c r="R588" s="138">
        <v>1428000</v>
      </c>
      <c r="S588" s="139">
        <v>1439000</v>
      </c>
      <c r="T588" s="322">
        <f t="shared" si="109"/>
        <v>41718.709999999963</v>
      </c>
      <c r="U588" s="140">
        <f t="shared" si="110"/>
        <v>3.0224788455982015E-2</v>
      </c>
      <c r="V588" s="322">
        <f t="shared" si="114"/>
        <v>-112000</v>
      </c>
      <c r="W588" s="140">
        <f t="shared" si="111"/>
        <v>-7.3011734028683176E-2</v>
      </c>
      <c r="X588" s="322">
        <f t="shared" si="112"/>
        <v>11000</v>
      </c>
      <c r="Y588" s="140">
        <f t="shared" si="113"/>
        <v>7.7958894401133948E-3</v>
      </c>
      <c r="Z588" s="519">
        <v>1058267.04</v>
      </c>
      <c r="AA588" s="111">
        <f t="shared" si="115"/>
        <v>1411022.72</v>
      </c>
      <c r="AB588" s="111">
        <f t="shared" si="116"/>
        <v>-22.71999999997206</v>
      </c>
    </row>
    <row r="589" spans="1:28" ht="25.5" customHeight="1">
      <c r="A589" s="116" t="s">
        <v>3136</v>
      </c>
      <c r="B589" s="126" t="s">
        <v>3191</v>
      </c>
      <c r="C589" s="98" t="s">
        <v>3194</v>
      </c>
      <c r="D589" s="98" t="s">
        <v>2833</v>
      </c>
      <c r="E589" s="540" t="s">
        <v>4295</v>
      </c>
      <c r="F589" s="540" t="s">
        <v>4296</v>
      </c>
      <c r="G589" s="555" t="s">
        <v>1175</v>
      </c>
      <c r="H589" s="555" t="s">
        <v>3126</v>
      </c>
      <c r="I589" s="556" t="s">
        <v>4270</v>
      </c>
      <c r="J589" s="557" t="s">
        <v>208</v>
      </c>
      <c r="K589" s="558" t="s">
        <v>2887</v>
      </c>
      <c r="L589" s="95"/>
      <c r="M589" s="104"/>
      <c r="N589" s="137">
        <v>6617.38</v>
      </c>
      <c r="O589" s="138">
        <v>13000</v>
      </c>
      <c r="P589" s="138">
        <v>13000</v>
      </c>
      <c r="Q589" s="138">
        <v>13000</v>
      </c>
      <c r="R589" s="138">
        <v>13000</v>
      </c>
      <c r="S589" s="139">
        <v>13000</v>
      </c>
      <c r="T589" s="322">
        <f t="shared" si="109"/>
        <v>6382.62</v>
      </c>
      <c r="U589" s="140">
        <f t="shared" si="110"/>
        <v>0.96452372389072405</v>
      </c>
      <c r="V589" s="322">
        <f t="shared" si="114"/>
        <v>0</v>
      </c>
      <c r="W589" s="140">
        <f t="shared" si="111"/>
        <v>0</v>
      </c>
      <c r="X589" s="322">
        <f t="shared" si="112"/>
        <v>0</v>
      </c>
      <c r="Y589" s="140">
        <f t="shared" si="113"/>
        <v>0</v>
      </c>
      <c r="Z589" s="519">
        <v>10185.14</v>
      </c>
      <c r="AA589" s="111">
        <f t="shared" si="115"/>
        <v>13580.186666666666</v>
      </c>
      <c r="AB589" s="111">
        <f t="shared" si="116"/>
        <v>-580.1866666666665</v>
      </c>
    </row>
    <row r="590" spans="1:28" ht="25.5" customHeight="1">
      <c r="A590" s="116" t="s">
        <v>1623</v>
      </c>
      <c r="B590" s="126" t="s">
        <v>3191</v>
      </c>
      <c r="C590" s="98" t="s">
        <v>3194</v>
      </c>
      <c r="D590" s="98" t="s">
        <v>3193</v>
      </c>
      <c r="E590" s="540" t="s">
        <v>4297</v>
      </c>
      <c r="F590" s="540" t="s">
        <v>5542</v>
      </c>
      <c r="G590" s="555" t="s">
        <v>1181</v>
      </c>
      <c r="H590" s="555" t="s">
        <v>3128</v>
      </c>
      <c r="I590" s="556" t="s">
        <v>4276</v>
      </c>
      <c r="J590" s="557" t="s">
        <v>2888</v>
      </c>
      <c r="K590" s="558" t="s">
        <v>2889</v>
      </c>
      <c r="L590" s="95"/>
      <c r="M590" s="104"/>
      <c r="N590" s="137">
        <v>9597869.3599999994</v>
      </c>
      <c r="O590" s="138">
        <v>9750000</v>
      </c>
      <c r="P590" s="138">
        <v>9378000</v>
      </c>
      <c r="Q590" s="138">
        <v>9639000</v>
      </c>
      <c r="R590" s="138">
        <v>9779000</v>
      </c>
      <c r="S590" s="139">
        <v>9887000</v>
      </c>
      <c r="T590" s="322">
        <f t="shared" si="109"/>
        <v>41130.640000000596</v>
      </c>
      <c r="U590" s="140">
        <f t="shared" si="110"/>
        <v>4.2853927738812853E-3</v>
      </c>
      <c r="V590" s="322">
        <f t="shared" si="114"/>
        <v>-111000</v>
      </c>
      <c r="W590" s="140">
        <f t="shared" si="111"/>
        <v>-1.1384615384615385E-2</v>
      </c>
      <c r="X590" s="322">
        <f t="shared" si="112"/>
        <v>261000</v>
      </c>
      <c r="Y590" s="140">
        <f t="shared" si="113"/>
        <v>2.7831094049904029E-2</v>
      </c>
      <c r="Z590" s="519">
        <v>7033251.9299999997</v>
      </c>
      <c r="AA590" s="111">
        <f t="shared" si="115"/>
        <v>9377669.2400000002</v>
      </c>
      <c r="AB590" s="111">
        <f t="shared" si="116"/>
        <v>330.75999999977648</v>
      </c>
    </row>
    <row r="591" spans="1:28" ht="25.5" customHeight="1">
      <c r="A591" s="116" t="s">
        <v>3137</v>
      </c>
      <c r="B591" s="126" t="s">
        <v>3191</v>
      </c>
      <c r="C591" s="98" t="s">
        <v>3194</v>
      </c>
      <c r="D591" s="98" t="s">
        <v>1397</v>
      </c>
      <c r="E591" s="540" t="s">
        <v>4298</v>
      </c>
      <c r="F591" s="540" t="s">
        <v>5543</v>
      </c>
      <c r="G591" s="555" t="s">
        <v>1183</v>
      </c>
      <c r="H591" s="555" t="s">
        <v>3130</v>
      </c>
      <c r="I591" s="556" t="s">
        <v>4278</v>
      </c>
      <c r="J591" s="557" t="s">
        <v>2888</v>
      </c>
      <c r="K591" s="558" t="s">
        <v>2889</v>
      </c>
      <c r="L591" s="95"/>
      <c r="M591" s="104"/>
      <c r="N591" s="137">
        <v>570176.61</v>
      </c>
      <c r="O591" s="138">
        <v>619000</v>
      </c>
      <c r="P591" s="138">
        <v>572000</v>
      </c>
      <c r="Q591" s="138">
        <v>650000</v>
      </c>
      <c r="R591" s="138">
        <v>692000</v>
      </c>
      <c r="S591" s="139">
        <v>704000</v>
      </c>
      <c r="T591" s="322">
        <f t="shared" si="109"/>
        <v>79823.390000000014</v>
      </c>
      <c r="U591" s="140">
        <f t="shared" si="110"/>
        <v>0.1399976579186579</v>
      </c>
      <c r="V591" s="322">
        <f t="shared" si="114"/>
        <v>31000</v>
      </c>
      <c r="W591" s="140">
        <f t="shared" si="111"/>
        <v>5.0080775444264945E-2</v>
      </c>
      <c r="X591" s="322">
        <f t="shared" si="112"/>
        <v>78000</v>
      </c>
      <c r="Y591" s="140">
        <f t="shared" si="113"/>
        <v>0.13636363636363635</v>
      </c>
      <c r="Z591" s="519">
        <v>429151.55</v>
      </c>
      <c r="AA591" s="111">
        <f t="shared" si="115"/>
        <v>572202.06666666665</v>
      </c>
      <c r="AB591" s="111">
        <f t="shared" si="116"/>
        <v>-202.06666666665114</v>
      </c>
    </row>
    <row r="592" spans="1:28" ht="36.75" customHeight="1">
      <c r="A592" s="116" t="s">
        <v>1624</v>
      </c>
      <c r="B592" s="126" t="s">
        <v>3191</v>
      </c>
      <c r="C592" s="98" t="s">
        <v>3194</v>
      </c>
      <c r="D592" s="98" t="s">
        <v>2631</v>
      </c>
      <c r="E592" s="540" t="s">
        <v>4299</v>
      </c>
      <c r="F592" s="540" t="s">
        <v>4300</v>
      </c>
      <c r="G592" s="555" t="s">
        <v>1173</v>
      </c>
      <c r="H592" s="555" t="s">
        <v>3124</v>
      </c>
      <c r="I592" s="556" t="s">
        <v>4267</v>
      </c>
      <c r="J592" s="557" t="s">
        <v>208</v>
      </c>
      <c r="K592" s="558" t="s">
        <v>2887</v>
      </c>
      <c r="L592" s="95"/>
      <c r="M592" s="104"/>
      <c r="N592" s="137">
        <v>0</v>
      </c>
      <c r="O592" s="138">
        <v>0</v>
      </c>
      <c r="P592" s="138">
        <v>0</v>
      </c>
      <c r="Q592" s="138">
        <v>0</v>
      </c>
      <c r="R592" s="138">
        <v>0</v>
      </c>
      <c r="S592" s="139">
        <v>0</v>
      </c>
      <c r="T592" s="322">
        <f t="shared" si="109"/>
        <v>0</v>
      </c>
      <c r="U592" s="140" t="str">
        <f t="shared" si="110"/>
        <v/>
      </c>
      <c r="V592" s="322">
        <f t="shared" si="114"/>
        <v>0</v>
      </c>
      <c r="W592" s="140" t="str">
        <f t="shared" si="111"/>
        <v/>
      </c>
      <c r="X592" s="322">
        <f t="shared" si="112"/>
        <v>0</v>
      </c>
      <c r="Y592" s="140" t="str">
        <f t="shared" si="113"/>
        <v/>
      </c>
      <c r="Z592" s="519">
        <v>0</v>
      </c>
      <c r="AA592" s="111">
        <f t="shared" si="115"/>
        <v>0</v>
      </c>
      <c r="AB592" s="111">
        <f t="shared" si="116"/>
        <v>0</v>
      </c>
    </row>
    <row r="593" spans="1:28" ht="36.75" customHeight="1">
      <c r="A593" s="116" t="s">
        <v>3138</v>
      </c>
      <c r="B593" s="126" t="s">
        <v>3191</v>
      </c>
      <c r="C593" s="98" t="s">
        <v>3194</v>
      </c>
      <c r="D593" s="98" t="s">
        <v>2834</v>
      </c>
      <c r="E593" s="540" t="s">
        <v>4301</v>
      </c>
      <c r="F593" s="540" t="s">
        <v>4302</v>
      </c>
      <c r="G593" s="555" t="s">
        <v>1175</v>
      </c>
      <c r="H593" s="555" t="s">
        <v>3126</v>
      </c>
      <c r="I593" s="556" t="s">
        <v>4270</v>
      </c>
      <c r="J593" s="557" t="s">
        <v>208</v>
      </c>
      <c r="K593" s="558" t="s">
        <v>2887</v>
      </c>
      <c r="L593" s="95"/>
      <c r="M593" s="104"/>
      <c r="N593" s="137">
        <v>0</v>
      </c>
      <c r="O593" s="138">
        <v>0</v>
      </c>
      <c r="P593" s="138">
        <v>0</v>
      </c>
      <c r="Q593" s="138">
        <v>0</v>
      </c>
      <c r="R593" s="138">
        <v>0</v>
      </c>
      <c r="S593" s="139">
        <v>0</v>
      </c>
      <c r="T593" s="322">
        <f t="shared" si="109"/>
        <v>0</v>
      </c>
      <c r="U593" s="140" t="str">
        <f t="shared" si="110"/>
        <v/>
      </c>
      <c r="V593" s="322">
        <f t="shared" si="114"/>
        <v>0</v>
      </c>
      <c r="W593" s="140" t="str">
        <f t="shared" si="111"/>
        <v/>
      </c>
      <c r="X593" s="322">
        <f t="shared" si="112"/>
        <v>0</v>
      </c>
      <c r="Y593" s="140" t="str">
        <f t="shared" si="113"/>
        <v/>
      </c>
      <c r="Z593" s="519">
        <v>0</v>
      </c>
      <c r="AA593" s="111">
        <f t="shared" si="115"/>
        <v>0</v>
      </c>
      <c r="AB593" s="111">
        <f t="shared" si="116"/>
        <v>0</v>
      </c>
    </row>
    <row r="594" spans="1:28" ht="36.75" customHeight="1">
      <c r="A594" s="116" t="s">
        <v>1625</v>
      </c>
      <c r="B594" s="126" t="s">
        <v>3191</v>
      </c>
      <c r="C594" s="98" t="s">
        <v>3194</v>
      </c>
      <c r="D594" s="98" t="s">
        <v>1404</v>
      </c>
      <c r="E594" s="540" t="s">
        <v>4303</v>
      </c>
      <c r="F594" s="540" t="s">
        <v>5544</v>
      </c>
      <c r="G594" s="555" t="s">
        <v>1181</v>
      </c>
      <c r="H594" s="555" t="s">
        <v>3128</v>
      </c>
      <c r="I594" s="556" t="s">
        <v>4276</v>
      </c>
      <c r="J594" s="557" t="s">
        <v>2888</v>
      </c>
      <c r="K594" s="558" t="s">
        <v>2889</v>
      </c>
      <c r="L594" s="95"/>
      <c r="M594" s="104"/>
      <c r="N594" s="137">
        <v>0</v>
      </c>
      <c r="O594" s="138">
        <v>0</v>
      </c>
      <c r="P594" s="138">
        <v>0</v>
      </c>
      <c r="Q594" s="138">
        <v>0</v>
      </c>
      <c r="R594" s="138">
        <v>0</v>
      </c>
      <c r="S594" s="139">
        <v>0</v>
      </c>
      <c r="T594" s="322">
        <f t="shared" si="109"/>
        <v>0</v>
      </c>
      <c r="U594" s="140" t="str">
        <f t="shared" si="110"/>
        <v/>
      </c>
      <c r="V594" s="322">
        <f t="shared" si="114"/>
        <v>0</v>
      </c>
      <c r="W594" s="140" t="str">
        <f t="shared" si="111"/>
        <v/>
      </c>
      <c r="X594" s="322">
        <f t="shared" si="112"/>
        <v>0</v>
      </c>
      <c r="Y594" s="140" t="str">
        <f t="shared" si="113"/>
        <v/>
      </c>
      <c r="Z594" s="519">
        <v>0</v>
      </c>
      <c r="AA594" s="111">
        <f t="shared" si="115"/>
        <v>0</v>
      </c>
      <c r="AB594" s="111">
        <f t="shared" si="116"/>
        <v>0</v>
      </c>
    </row>
    <row r="595" spans="1:28" ht="36.75" customHeight="1">
      <c r="A595" s="116" t="s">
        <v>2561</v>
      </c>
      <c r="B595" s="126" t="s">
        <v>3191</v>
      </c>
      <c r="C595" s="98" t="s">
        <v>3194</v>
      </c>
      <c r="D595" s="98" t="s">
        <v>1372</v>
      </c>
      <c r="E595" s="540" t="s">
        <v>4304</v>
      </c>
      <c r="F595" s="540" t="s">
        <v>5545</v>
      </c>
      <c r="G595" s="555" t="s">
        <v>1183</v>
      </c>
      <c r="H595" s="555" t="s">
        <v>3130</v>
      </c>
      <c r="I595" s="556" t="s">
        <v>4278</v>
      </c>
      <c r="J595" s="557" t="s">
        <v>2888</v>
      </c>
      <c r="K595" s="558" t="s">
        <v>2889</v>
      </c>
      <c r="L595" s="95"/>
      <c r="M595" s="104"/>
      <c r="N595" s="137">
        <v>0</v>
      </c>
      <c r="O595" s="138">
        <v>0</v>
      </c>
      <c r="P595" s="138">
        <v>0</v>
      </c>
      <c r="Q595" s="138">
        <v>0</v>
      </c>
      <c r="R595" s="138">
        <v>0</v>
      </c>
      <c r="S595" s="139">
        <v>0</v>
      </c>
      <c r="T595" s="322">
        <f t="shared" si="109"/>
        <v>0</v>
      </c>
      <c r="U595" s="140" t="str">
        <f t="shared" si="110"/>
        <v/>
      </c>
      <c r="V595" s="322">
        <f t="shared" si="114"/>
        <v>0</v>
      </c>
      <c r="W595" s="140" t="str">
        <f t="shared" si="111"/>
        <v/>
      </c>
      <c r="X595" s="322">
        <f t="shared" si="112"/>
        <v>0</v>
      </c>
      <c r="Y595" s="140" t="str">
        <f t="shared" si="113"/>
        <v/>
      </c>
      <c r="Z595" s="519">
        <v>0</v>
      </c>
      <c r="AA595" s="111">
        <f t="shared" si="115"/>
        <v>0</v>
      </c>
      <c r="AB595" s="111">
        <f t="shared" si="116"/>
        <v>0</v>
      </c>
    </row>
    <row r="596" spans="1:28" ht="36.75" customHeight="1">
      <c r="A596" s="117" t="s">
        <v>1626</v>
      </c>
      <c r="B596" s="127" t="s">
        <v>3191</v>
      </c>
      <c r="C596" s="99" t="s">
        <v>2629</v>
      </c>
      <c r="D596" s="99" t="s">
        <v>3185</v>
      </c>
      <c r="E596" s="554" t="s">
        <v>4305</v>
      </c>
      <c r="F596" s="554" t="s">
        <v>4306</v>
      </c>
      <c r="G596" s="555"/>
      <c r="H596" s="555"/>
      <c r="I596" s="556"/>
      <c r="J596" s="557"/>
      <c r="K596" s="558"/>
      <c r="L596" s="95"/>
      <c r="M596" s="104"/>
      <c r="N596" s="137">
        <v>0</v>
      </c>
      <c r="O596" s="138">
        <v>0</v>
      </c>
      <c r="P596" s="138">
        <v>0</v>
      </c>
      <c r="Q596" s="138">
        <v>0</v>
      </c>
      <c r="R596" s="138">
        <v>0</v>
      </c>
      <c r="S596" s="139">
        <v>0</v>
      </c>
      <c r="T596" s="322">
        <f t="shared" si="109"/>
        <v>0</v>
      </c>
      <c r="U596" s="140" t="str">
        <f t="shared" si="110"/>
        <v/>
      </c>
      <c r="V596" s="322">
        <f t="shared" si="114"/>
        <v>0</v>
      </c>
      <c r="W596" s="140" t="str">
        <f t="shared" si="111"/>
        <v/>
      </c>
      <c r="X596" s="322">
        <f t="shared" si="112"/>
        <v>0</v>
      </c>
      <c r="Y596" s="140" t="str">
        <f t="shared" si="113"/>
        <v/>
      </c>
      <c r="Z596" s="519">
        <v>0</v>
      </c>
      <c r="AA596" s="111">
        <f t="shared" si="115"/>
        <v>0</v>
      </c>
      <c r="AB596" s="111">
        <f t="shared" si="116"/>
        <v>0</v>
      </c>
    </row>
    <row r="597" spans="1:28" ht="46.5" customHeight="1">
      <c r="A597" s="116" t="s">
        <v>1627</v>
      </c>
      <c r="B597" s="126" t="s">
        <v>3191</v>
      </c>
      <c r="C597" s="98" t="s">
        <v>2629</v>
      </c>
      <c r="D597" s="98" t="s">
        <v>3183</v>
      </c>
      <c r="E597" s="540" t="s">
        <v>4307</v>
      </c>
      <c r="F597" s="540" t="s">
        <v>5546</v>
      </c>
      <c r="G597" s="555" t="s">
        <v>1173</v>
      </c>
      <c r="H597" s="555" t="s">
        <v>3124</v>
      </c>
      <c r="I597" s="556" t="s">
        <v>4267</v>
      </c>
      <c r="J597" s="557" t="s">
        <v>208</v>
      </c>
      <c r="K597" s="558" t="s">
        <v>2887</v>
      </c>
      <c r="L597" s="95"/>
      <c r="M597" s="104"/>
      <c r="N597" s="137">
        <v>122416.37</v>
      </c>
      <c r="O597" s="138">
        <v>97000</v>
      </c>
      <c r="P597" s="138">
        <v>122000</v>
      </c>
      <c r="Q597" s="138">
        <v>122000</v>
      </c>
      <c r="R597" s="138">
        <v>122000</v>
      </c>
      <c r="S597" s="139">
        <v>122000</v>
      </c>
      <c r="T597" s="322">
        <f t="shared" si="109"/>
        <v>-416.36999999999534</v>
      </c>
      <c r="U597" s="140">
        <f t="shared" si="110"/>
        <v>-3.4012607954311612E-3</v>
      </c>
      <c r="V597" s="322">
        <f t="shared" si="114"/>
        <v>25000</v>
      </c>
      <c r="W597" s="140">
        <f t="shared" si="111"/>
        <v>0.25773195876288657</v>
      </c>
      <c r="X597" s="322">
        <f t="shared" si="112"/>
        <v>0</v>
      </c>
      <c r="Y597" s="140">
        <f t="shared" si="113"/>
        <v>0</v>
      </c>
      <c r="Z597" s="519">
        <v>92000</v>
      </c>
      <c r="AA597" s="111">
        <f t="shared" si="115"/>
        <v>122666.66666666667</v>
      </c>
      <c r="AB597" s="111">
        <f t="shared" si="116"/>
        <v>-666.66666666667152</v>
      </c>
    </row>
    <row r="598" spans="1:28" ht="51.75" customHeight="1">
      <c r="A598" s="116" t="s">
        <v>2562</v>
      </c>
      <c r="B598" s="126" t="s">
        <v>3191</v>
      </c>
      <c r="C598" s="98" t="s">
        <v>2629</v>
      </c>
      <c r="D598" s="98" t="s">
        <v>2833</v>
      </c>
      <c r="E598" s="540" t="s">
        <v>4308</v>
      </c>
      <c r="F598" s="540" t="s">
        <v>5547</v>
      </c>
      <c r="G598" s="555" t="s">
        <v>1175</v>
      </c>
      <c r="H598" s="555" t="s">
        <v>3126</v>
      </c>
      <c r="I598" s="556" t="s">
        <v>4270</v>
      </c>
      <c r="J598" s="557" t="s">
        <v>208</v>
      </c>
      <c r="K598" s="558" t="s">
        <v>2887</v>
      </c>
      <c r="L598" s="95"/>
      <c r="M598" s="104"/>
      <c r="N598" s="137">
        <v>3000</v>
      </c>
      <c r="O598" s="138">
        <v>3000</v>
      </c>
      <c r="P598" s="138">
        <v>4000</v>
      </c>
      <c r="Q598" s="138">
        <v>4000</v>
      </c>
      <c r="R598" s="138">
        <v>4000</v>
      </c>
      <c r="S598" s="139">
        <v>4000</v>
      </c>
      <c r="T598" s="322">
        <f t="shared" si="109"/>
        <v>1000</v>
      </c>
      <c r="U598" s="140">
        <f t="shared" si="110"/>
        <v>0.33333333333333331</v>
      </c>
      <c r="V598" s="322">
        <f t="shared" si="114"/>
        <v>1000</v>
      </c>
      <c r="W598" s="140">
        <f t="shared" si="111"/>
        <v>0.33333333333333331</v>
      </c>
      <c r="X598" s="322">
        <f t="shared" si="112"/>
        <v>0</v>
      </c>
      <c r="Y598" s="140">
        <f t="shared" si="113"/>
        <v>0</v>
      </c>
      <c r="Z598" s="519">
        <v>3000</v>
      </c>
      <c r="AA598" s="111">
        <f t="shared" si="115"/>
        <v>4000</v>
      </c>
      <c r="AB598" s="111">
        <f t="shared" si="116"/>
        <v>0</v>
      </c>
    </row>
    <row r="599" spans="1:28" ht="51.75" customHeight="1">
      <c r="A599" s="114" t="s">
        <v>1628</v>
      </c>
      <c r="B599" s="125" t="s">
        <v>3191</v>
      </c>
      <c r="C599" s="97" t="s">
        <v>2629</v>
      </c>
      <c r="D599" s="97" t="s">
        <v>2138</v>
      </c>
      <c r="E599" s="540" t="s">
        <v>4309</v>
      </c>
      <c r="F599" s="540" t="s">
        <v>5548</v>
      </c>
      <c r="G599" s="555" t="s">
        <v>1181</v>
      </c>
      <c r="H599" s="555" t="s">
        <v>3128</v>
      </c>
      <c r="I599" s="556" t="s">
        <v>4276</v>
      </c>
      <c r="J599" s="557" t="s">
        <v>2888</v>
      </c>
      <c r="K599" s="558" t="s">
        <v>2889</v>
      </c>
      <c r="L599" s="95"/>
      <c r="M599" s="104"/>
      <c r="N599" s="137">
        <v>789543.31</v>
      </c>
      <c r="O599" s="138">
        <v>771000</v>
      </c>
      <c r="P599" s="138">
        <v>790000</v>
      </c>
      <c r="Q599" s="138">
        <v>790000</v>
      </c>
      <c r="R599" s="138">
        <v>790000</v>
      </c>
      <c r="S599" s="139">
        <v>790000</v>
      </c>
      <c r="T599" s="322">
        <f t="shared" si="109"/>
        <v>456.68999999994412</v>
      </c>
      <c r="U599" s="140">
        <f t="shared" si="110"/>
        <v>5.7842298733421491E-4</v>
      </c>
      <c r="V599" s="322">
        <f t="shared" si="114"/>
        <v>19000</v>
      </c>
      <c r="W599" s="140">
        <f t="shared" si="111"/>
        <v>2.464332036316472E-2</v>
      </c>
      <c r="X599" s="322">
        <f t="shared" si="112"/>
        <v>0</v>
      </c>
      <c r="Y599" s="140">
        <f t="shared" si="113"/>
        <v>0</v>
      </c>
      <c r="Z599" s="519">
        <v>593000</v>
      </c>
      <c r="AA599" s="111">
        <f t="shared" si="115"/>
        <v>790666.66666666663</v>
      </c>
      <c r="AB599" s="111">
        <f t="shared" si="116"/>
        <v>-666.66666666662786</v>
      </c>
    </row>
    <row r="600" spans="1:28" ht="51.75" customHeight="1">
      <c r="A600" s="114" t="s">
        <v>2563</v>
      </c>
      <c r="B600" s="125" t="s">
        <v>3191</v>
      </c>
      <c r="C600" s="97" t="s">
        <v>2629</v>
      </c>
      <c r="D600" s="97" t="s">
        <v>2468</v>
      </c>
      <c r="E600" s="540" t="s">
        <v>4310</v>
      </c>
      <c r="F600" s="540" t="s">
        <v>5549</v>
      </c>
      <c r="G600" s="555" t="s">
        <v>1183</v>
      </c>
      <c r="H600" s="555" t="s">
        <v>3130</v>
      </c>
      <c r="I600" s="556" t="s">
        <v>4278</v>
      </c>
      <c r="J600" s="557" t="s">
        <v>2888</v>
      </c>
      <c r="K600" s="558" t="s">
        <v>2889</v>
      </c>
      <c r="L600" s="95"/>
      <c r="M600" s="104"/>
      <c r="N600" s="137">
        <v>35253.620000000003</v>
      </c>
      <c r="O600" s="138">
        <v>45000</v>
      </c>
      <c r="P600" s="138">
        <v>36000</v>
      </c>
      <c r="Q600" s="138">
        <v>36000</v>
      </c>
      <c r="R600" s="138">
        <v>36000</v>
      </c>
      <c r="S600" s="139">
        <v>36000</v>
      </c>
      <c r="T600" s="322">
        <f t="shared" si="109"/>
        <v>746.37999999999738</v>
      </c>
      <c r="U600" s="140">
        <f t="shared" si="110"/>
        <v>2.1171726478018352E-2</v>
      </c>
      <c r="V600" s="322">
        <f t="shared" si="114"/>
        <v>-9000</v>
      </c>
      <c r="W600" s="140">
        <f t="shared" si="111"/>
        <v>-0.2</v>
      </c>
      <c r="X600" s="322">
        <f t="shared" si="112"/>
        <v>0</v>
      </c>
      <c r="Y600" s="140">
        <f t="shared" si="113"/>
        <v>0</v>
      </c>
      <c r="Z600" s="519">
        <v>27000</v>
      </c>
      <c r="AA600" s="111">
        <f t="shared" si="115"/>
        <v>36000</v>
      </c>
      <c r="AB600" s="111">
        <f t="shared" si="116"/>
        <v>0</v>
      </c>
    </row>
    <row r="601" spans="1:28" ht="36.75" customHeight="1">
      <c r="A601" s="116" t="s">
        <v>1629</v>
      </c>
      <c r="B601" s="126" t="s">
        <v>3191</v>
      </c>
      <c r="C601" s="98" t="s">
        <v>2629</v>
      </c>
      <c r="D601" s="98" t="s">
        <v>3193</v>
      </c>
      <c r="E601" s="540" t="s">
        <v>5550</v>
      </c>
      <c r="F601" s="540" t="s">
        <v>4311</v>
      </c>
      <c r="G601" s="555" t="s">
        <v>1173</v>
      </c>
      <c r="H601" s="555" t="s">
        <v>3124</v>
      </c>
      <c r="I601" s="556" t="s">
        <v>4267</v>
      </c>
      <c r="J601" s="557" t="s">
        <v>208</v>
      </c>
      <c r="K601" s="558" t="s">
        <v>2887</v>
      </c>
      <c r="L601" s="95"/>
      <c r="M601" s="104"/>
      <c r="N601" s="137">
        <v>295830.17</v>
      </c>
      <c r="O601" s="138">
        <v>286000</v>
      </c>
      <c r="P601" s="138">
        <v>352000</v>
      </c>
      <c r="Q601" s="138">
        <v>352000</v>
      </c>
      <c r="R601" s="138">
        <v>352000</v>
      </c>
      <c r="S601" s="139">
        <v>352000</v>
      </c>
      <c r="T601" s="322">
        <f t="shared" si="109"/>
        <v>56169.830000000016</v>
      </c>
      <c r="U601" s="140">
        <f t="shared" si="110"/>
        <v>0.18987187817929463</v>
      </c>
      <c r="V601" s="322">
        <f t="shared" si="114"/>
        <v>66000</v>
      </c>
      <c r="W601" s="140">
        <f t="shared" si="111"/>
        <v>0.23076923076923078</v>
      </c>
      <c r="X601" s="322">
        <f t="shared" si="112"/>
        <v>0</v>
      </c>
      <c r="Y601" s="140">
        <f t="shared" si="113"/>
        <v>0</v>
      </c>
      <c r="Z601" s="519">
        <v>264000</v>
      </c>
      <c r="AA601" s="111">
        <f t="shared" si="115"/>
        <v>352000</v>
      </c>
      <c r="AB601" s="111">
        <f t="shared" si="116"/>
        <v>0</v>
      </c>
    </row>
    <row r="602" spans="1:28" ht="36.75" customHeight="1">
      <c r="A602" s="116" t="s">
        <v>2564</v>
      </c>
      <c r="B602" s="126" t="s">
        <v>3191</v>
      </c>
      <c r="C602" s="98" t="s">
        <v>2629</v>
      </c>
      <c r="D602" s="98" t="s">
        <v>1397</v>
      </c>
      <c r="E602" s="540" t="s">
        <v>5551</v>
      </c>
      <c r="F602" s="540" t="s">
        <v>4312</v>
      </c>
      <c r="G602" s="555" t="s">
        <v>1175</v>
      </c>
      <c r="H602" s="555" t="s">
        <v>3126</v>
      </c>
      <c r="I602" s="556" t="s">
        <v>4270</v>
      </c>
      <c r="J602" s="557" t="s">
        <v>208</v>
      </c>
      <c r="K602" s="558" t="s">
        <v>2887</v>
      </c>
      <c r="L602" s="95"/>
      <c r="M602" s="104"/>
      <c r="N602" s="137">
        <v>1631</v>
      </c>
      <c r="O602" s="138">
        <v>1000</v>
      </c>
      <c r="P602" s="138">
        <v>2000</v>
      </c>
      <c r="Q602" s="138">
        <v>2000</v>
      </c>
      <c r="R602" s="138">
        <v>2000</v>
      </c>
      <c r="S602" s="139">
        <v>2000</v>
      </c>
      <c r="T602" s="322">
        <f t="shared" si="109"/>
        <v>369</v>
      </c>
      <c r="U602" s="140">
        <f t="shared" si="110"/>
        <v>0.22624156958920907</v>
      </c>
      <c r="V602" s="322">
        <f t="shared" si="114"/>
        <v>1000</v>
      </c>
      <c r="W602" s="140">
        <f t="shared" si="111"/>
        <v>1</v>
      </c>
      <c r="X602" s="322">
        <f t="shared" si="112"/>
        <v>0</v>
      </c>
      <c r="Y602" s="140">
        <f t="shared" si="113"/>
        <v>0</v>
      </c>
      <c r="Z602" s="519">
        <v>2000</v>
      </c>
      <c r="AA602" s="111">
        <f t="shared" si="115"/>
        <v>2666.6666666666665</v>
      </c>
      <c r="AB602" s="111">
        <f t="shared" si="116"/>
        <v>-666.66666666666652</v>
      </c>
    </row>
    <row r="603" spans="1:28" ht="36.75" customHeight="1">
      <c r="A603" s="114" t="s">
        <v>2338</v>
      </c>
      <c r="B603" s="125" t="s">
        <v>3191</v>
      </c>
      <c r="C603" s="97" t="s">
        <v>2629</v>
      </c>
      <c r="D603" s="97" t="s">
        <v>1401</v>
      </c>
      <c r="E603" s="540" t="s">
        <v>5552</v>
      </c>
      <c r="F603" s="540" t="s">
        <v>4313</v>
      </c>
      <c r="G603" s="555" t="s">
        <v>1181</v>
      </c>
      <c r="H603" s="555" t="s">
        <v>3128</v>
      </c>
      <c r="I603" s="556" t="s">
        <v>4276</v>
      </c>
      <c r="J603" s="557" t="s">
        <v>2888</v>
      </c>
      <c r="K603" s="558" t="s">
        <v>2889</v>
      </c>
      <c r="L603" s="95"/>
      <c r="M603" s="104"/>
      <c r="N603" s="137">
        <v>282822.32</v>
      </c>
      <c r="O603" s="138">
        <v>198000</v>
      </c>
      <c r="P603" s="138">
        <v>338000</v>
      </c>
      <c r="Q603" s="138">
        <v>338000</v>
      </c>
      <c r="R603" s="138">
        <v>338000</v>
      </c>
      <c r="S603" s="139">
        <v>338000</v>
      </c>
      <c r="T603" s="322">
        <f t="shared" si="109"/>
        <v>55177.679999999993</v>
      </c>
      <c r="U603" s="140">
        <f t="shared" si="110"/>
        <v>0.19509662462283739</v>
      </c>
      <c r="V603" s="322">
        <f t="shared" si="114"/>
        <v>140000</v>
      </c>
      <c r="W603" s="140">
        <f t="shared" si="111"/>
        <v>0.70707070707070707</v>
      </c>
      <c r="X603" s="322">
        <f t="shared" si="112"/>
        <v>0</v>
      </c>
      <c r="Y603" s="140">
        <f t="shared" si="113"/>
        <v>0</v>
      </c>
      <c r="Z603" s="519">
        <v>254000</v>
      </c>
      <c r="AA603" s="111">
        <f t="shared" si="115"/>
        <v>338666.66666666669</v>
      </c>
      <c r="AB603" s="111">
        <f t="shared" si="116"/>
        <v>-666.66666666668607</v>
      </c>
    </row>
    <row r="604" spans="1:28" ht="36.75" customHeight="1">
      <c r="A604" s="114" t="s">
        <v>2565</v>
      </c>
      <c r="B604" s="125" t="s">
        <v>3191</v>
      </c>
      <c r="C604" s="97" t="s">
        <v>2629</v>
      </c>
      <c r="D604" s="97" t="s">
        <v>1402</v>
      </c>
      <c r="E604" s="540" t="s">
        <v>5553</v>
      </c>
      <c r="F604" s="540" t="s">
        <v>4314</v>
      </c>
      <c r="G604" s="555" t="s">
        <v>1183</v>
      </c>
      <c r="H604" s="555" t="s">
        <v>3130</v>
      </c>
      <c r="I604" s="556" t="s">
        <v>4278</v>
      </c>
      <c r="J604" s="557" t="s">
        <v>2888</v>
      </c>
      <c r="K604" s="558" t="s">
        <v>2889</v>
      </c>
      <c r="L604" s="95"/>
      <c r="M604" s="104"/>
      <c r="N604" s="137">
        <v>16555.41</v>
      </c>
      <c r="O604" s="138">
        <v>9000</v>
      </c>
      <c r="P604" s="138">
        <v>17000</v>
      </c>
      <c r="Q604" s="138">
        <v>17000</v>
      </c>
      <c r="R604" s="138">
        <v>17000</v>
      </c>
      <c r="S604" s="139">
        <v>17000</v>
      </c>
      <c r="T604" s="322">
        <f t="shared" si="109"/>
        <v>444.59000000000015</v>
      </c>
      <c r="U604" s="140">
        <f t="shared" si="110"/>
        <v>2.6854665634979753E-2</v>
      </c>
      <c r="V604" s="322">
        <f t="shared" si="114"/>
        <v>8000</v>
      </c>
      <c r="W604" s="140">
        <f t="shared" si="111"/>
        <v>0.88888888888888884</v>
      </c>
      <c r="X604" s="322">
        <f t="shared" si="112"/>
        <v>0</v>
      </c>
      <c r="Y604" s="140">
        <f t="shared" si="113"/>
        <v>0</v>
      </c>
      <c r="Z604" s="519">
        <v>13000</v>
      </c>
      <c r="AA604" s="111">
        <f t="shared" si="115"/>
        <v>17333.333333333332</v>
      </c>
      <c r="AB604" s="111">
        <f t="shared" si="116"/>
        <v>-333.33333333333212</v>
      </c>
    </row>
    <row r="605" spans="1:28" ht="36.75" customHeight="1">
      <c r="A605" s="116" t="s">
        <v>2339</v>
      </c>
      <c r="B605" s="126" t="s">
        <v>3191</v>
      </c>
      <c r="C605" s="98" t="s">
        <v>2629</v>
      </c>
      <c r="D605" s="98" t="s">
        <v>2631</v>
      </c>
      <c r="E605" s="559" t="s">
        <v>4315</v>
      </c>
      <c r="F605" s="540" t="s">
        <v>4316</v>
      </c>
      <c r="G605" s="555" t="s">
        <v>1173</v>
      </c>
      <c r="H605" s="555" t="s">
        <v>3124</v>
      </c>
      <c r="I605" s="556" t="s">
        <v>4267</v>
      </c>
      <c r="J605" s="557" t="s">
        <v>208</v>
      </c>
      <c r="K605" s="558" t="s">
        <v>2887</v>
      </c>
      <c r="L605" s="95"/>
      <c r="M605" s="104"/>
      <c r="N605" s="137">
        <v>111590.58</v>
      </c>
      <c r="O605" s="138">
        <v>102000</v>
      </c>
      <c r="P605" s="138">
        <v>73000</v>
      </c>
      <c r="Q605" s="138">
        <v>73000</v>
      </c>
      <c r="R605" s="138">
        <v>73000</v>
      </c>
      <c r="S605" s="139">
        <v>73000</v>
      </c>
      <c r="T605" s="322">
        <f t="shared" ref="T605:T668" si="117">IF(N605="","",Q605-N605)</f>
        <v>-38590.58</v>
      </c>
      <c r="U605" s="140">
        <f t="shared" ref="U605:U668" si="118">IF(N605=0,"",T605/N605)</f>
        <v>-0.34582291802766868</v>
      </c>
      <c r="V605" s="322">
        <f t="shared" si="114"/>
        <v>-29000</v>
      </c>
      <c r="W605" s="140">
        <f t="shared" ref="W605:W668" si="119">IF(O605=0,"",V605/O605)</f>
        <v>-0.28431372549019607</v>
      </c>
      <c r="X605" s="322">
        <f t="shared" ref="X605:X668" si="120">IF(P605="","",Q605-P605)</f>
        <v>0</v>
      </c>
      <c r="Y605" s="140">
        <f t="shared" ref="Y605:Y668" si="121">IF(P605=0,"",X605/P605)</f>
        <v>0</v>
      </c>
      <c r="Z605" s="519">
        <v>55000</v>
      </c>
      <c r="AA605" s="111">
        <f t="shared" si="115"/>
        <v>73333.333333333328</v>
      </c>
      <c r="AB605" s="111">
        <f t="shared" si="116"/>
        <v>-333.33333333332848</v>
      </c>
    </row>
    <row r="606" spans="1:28" ht="36.75" customHeight="1">
      <c r="A606" s="116" t="s">
        <v>2566</v>
      </c>
      <c r="B606" s="126" t="s">
        <v>3191</v>
      </c>
      <c r="C606" s="98" t="s">
        <v>2629</v>
      </c>
      <c r="D606" s="98" t="s">
        <v>2834</v>
      </c>
      <c r="E606" s="559" t="s">
        <v>4317</v>
      </c>
      <c r="F606" s="540" t="s">
        <v>4318</v>
      </c>
      <c r="G606" s="555" t="s">
        <v>1175</v>
      </c>
      <c r="H606" s="555" t="s">
        <v>3126</v>
      </c>
      <c r="I606" s="556" t="s">
        <v>4270</v>
      </c>
      <c r="J606" s="557" t="s">
        <v>208</v>
      </c>
      <c r="K606" s="558" t="s">
        <v>2887</v>
      </c>
      <c r="L606" s="95"/>
      <c r="M606" s="104"/>
      <c r="N606" s="137">
        <v>1227.22</v>
      </c>
      <c r="O606" s="138">
        <v>2000</v>
      </c>
      <c r="P606" s="138">
        <v>1000</v>
      </c>
      <c r="Q606" s="138">
        <v>1000</v>
      </c>
      <c r="R606" s="138">
        <v>1000</v>
      </c>
      <c r="S606" s="139">
        <v>1000</v>
      </c>
      <c r="T606" s="322">
        <f t="shared" si="117"/>
        <v>-227.22000000000003</v>
      </c>
      <c r="U606" s="140">
        <f t="shared" si="118"/>
        <v>-0.18515017682241164</v>
      </c>
      <c r="V606" s="322">
        <f t="shared" si="114"/>
        <v>-1000</v>
      </c>
      <c r="W606" s="140">
        <f t="shared" si="119"/>
        <v>-0.5</v>
      </c>
      <c r="X606" s="322">
        <f t="shared" si="120"/>
        <v>0</v>
      </c>
      <c r="Y606" s="140">
        <f t="shared" si="121"/>
        <v>0</v>
      </c>
      <c r="Z606" s="519">
        <v>1000</v>
      </c>
      <c r="AA606" s="111">
        <f t="shared" si="115"/>
        <v>1333.3333333333333</v>
      </c>
      <c r="AB606" s="111">
        <f t="shared" si="116"/>
        <v>-333.33333333333326</v>
      </c>
    </row>
    <row r="607" spans="1:28" ht="36.75" customHeight="1">
      <c r="A607" s="114" t="s">
        <v>2340</v>
      </c>
      <c r="B607" s="125" t="s">
        <v>3191</v>
      </c>
      <c r="C607" s="97" t="s">
        <v>2629</v>
      </c>
      <c r="D607" s="97" t="s">
        <v>1552</v>
      </c>
      <c r="E607" s="559" t="s">
        <v>4319</v>
      </c>
      <c r="F607" s="540" t="s">
        <v>5554</v>
      </c>
      <c r="G607" s="555" t="s">
        <v>1181</v>
      </c>
      <c r="H607" s="555" t="s">
        <v>3128</v>
      </c>
      <c r="I607" s="556" t="s">
        <v>4276</v>
      </c>
      <c r="J607" s="557" t="s">
        <v>2888</v>
      </c>
      <c r="K607" s="558" t="s">
        <v>2889</v>
      </c>
      <c r="L607" s="95"/>
      <c r="M607" s="104"/>
      <c r="N607" s="137">
        <v>285511.96000000002</v>
      </c>
      <c r="O607" s="138">
        <v>258000</v>
      </c>
      <c r="P607" s="138">
        <v>237000</v>
      </c>
      <c r="Q607" s="138">
        <v>237000</v>
      </c>
      <c r="R607" s="138">
        <v>237000</v>
      </c>
      <c r="S607" s="139">
        <v>237000</v>
      </c>
      <c r="T607" s="322">
        <f t="shared" si="117"/>
        <v>-48511.960000000021</v>
      </c>
      <c r="U607" s="140">
        <f t="shared" si="118"/>
        <v>-0.16991218161228699</v>
      </c>
      <c r="V607" s="322">
        <f t="shared" si="114"/>
        <v>-21000</v>
      </c>
      <c r="W607" s="140">
        <f t="shared" si="119"/>
        <v>-8.1395348837209308E-2</v>
      </c>
      <c r="X607" s="322">
        <f t="shared" si="120"/>
        <v>0</v>
      </c>
      <c r="Y607" s="140">
        <f t="shared" si="121"/>
        <v>0</v>
      </c>
      <c r="Z607" s="519">
        <v>178000</v>
      </c>
      <c r="AA607" s="111">
        <f t="shared" si="115"/>
        <v>237333.33333333334</v>
      </c>
      <c r="AB607" s="111">
        <f t="shared" si="116"/>
        <v>-333.33333333334303</v>
      </c>
    </row>
    <row r="608" spans="1:28" ht="36.75" customHeight="1">
      <c r="A608" s="114" t="s">
        <v>2675</v>
      </c>
      <c r="B608" s="125" t="s">
        <v>3191</v>
      </c>
      <c r="C608" s="97" t="s">
        <v>2629</v>
      </c>
      <c r="D608" s="97" t="s">
        <v>3196</v>
      </c>
      <c r="E608" s="559" t="s">
        <v>4320</v>
      </c>
      <c r="F608" s="540" t="s">
        <v>5555</v>
      </c>
      <c r="G608" s="555" t="s">
        <v>1183</v>
      </c>
      <c r="H608" s="555" t="s">
        <v>3130</v>
      </c>
      <c r="I608" s="556" t="s">
        <v>4278</v>
      </c>
      <c r="J608" s="557" t="s">
        <v>2888</v>
      </c>
      <c r="K608" s="558" t="s">
        <v>2889</v>
      </c>
      <c r="L608" s="95"/>
      <c r="M608" s="104"/>
      <c r="N608" s="137">
        <v>14808.47</v>
      </c>
      <c r="O608" s="138">
        <v>15000</v>
      </c>
      <c r="P608" s="138">
        <v>19000</v>
      </c>
      <c r="Q608" s="138">
        <v>19000</v>
      </c>
      <c r="R608" s="138">
        <v>19000</v>
      </c>
      <c r="S608" s="139">
        <v>19000</v>
      </c>
      <c r="T608" s="322">
        <f t="shared" si="117"/>
        <v>4191.5300000000007</v>
      </c>
      <c r="U608" s="140">
        <f t="shared" si="118"/>
        <v>0.28304949802376617</v>
      </c>
      <c r="V608" s="322">
        <f t="shared" si="114"/>
        <v>4000</v>
      </c>
      <c r="W608" s="140">
        <f t="shared" si="119"/>
        <v>0.26666666666666666</v>
      </c>
      <c r="X608" s="322">
        <f t="shared" si="120"/>
        <v>0</v>
      </c>
      <c r="Y608" s="140">
        <f t="shared" si="121"/>
        <v>0</v>
      </c>
      <c r="Z608" s="519">
        <v>14000</v>
      </c>
      <c r="AA608" s="111">
        <f t="shared" si="115"/>
        <v>18666.666666666668</v>
      </c>
      <c r="AB608" s="111">
        <f t="shared" si="116"/>
        <v>333.33333333333212</v>
      </c>
    </row>
    <row r="609" spans="1:28" ht="36.75" customHeight="1">
      <c r="A609" s="116" t="s">
        <v>2341</v>
      </c>
      <c r="B609" s="126" t="s">
        <v>3191</v>
      </c>
      <c r="C609" s="98" t="s">
        <v>2629</v>
      </c>
      <c r="D609" s="98" t="s">
        <v>1404</v>
      </c>
      <c r="E609" s="559" t="s">
        <v>4321</v>
      </c>
      <c r="F609" s="540" t="s">
        <v>4322</v>
      </c>
      <c r="G609" s="511" t="s">
        <v>1173</v>
      </c>
      <c r="H609" s="511" t="s">
        <v>3124</v>
      </c>
      <c r="I609" s="544" t="s">
        <v>4267</v>
      </c>
      <c r="J609" s="542" t="s">
        <v>208</v>
      </c>
      <c r="K609" s="543" t="s">
        <v>2887</v>
      </c>
      <c r="L609" s="95"/>
      <c r="M609" s="104"/>
      <c r="N609" s="137">
        <v>2850</v>
      </c>
      <c r="O609" s="138">
        <v>0</v>
      </c>
      <c r="P609" s="138">
        <v>3000</v>
      </c>
      <c r="Q609" s="138">
        <v>3000</v>
      </c>
      <c r="R609" s="138">
        <v>3000</v>
      </c>
      <c r="S609" s="139">
        <v>3000</v>
      </c>
      <c r="T609" s="322">
        <f t="shared" si="117"/>
        <v>150</v>
      </c>
      <c r="U609" s="140">
        <f t="shared" si="118"/>
        <v>5.2631578947368418E-2</v>
      </c>
      <c r="V609" s="322">
        <f t="shared" si="114"/>
        <v>3000</v>
      </c>
      <c r="W609" s="140" t="str">
        <f t="shared" si="119"/>
        <v/>
      </c>
      <c r="X609" s="322">
        <f t="shared" si="120"/>
        <v>0</v>
      </c>
      <c r="Y609" s="140">
        <f t="shared" si="121"/>
        <v>0</v>
      </c>
      <c r="Z609" s="519">
        <v>2000</v>
      </c>
      <c r="AA609" s="111">
        <f t="shared" si="115"/>
        <v>2666.6666666666665</v>
      </c>
      <c r="AB609" s="111">
        <f t="shared" si="116"/>
        <v>333.33333333333348</v>
      </c>
    </row>
    <row r="610" spans="1:28" ht="36.75" customHeight="1">
      <c r="A610" s="116" t="s">
        <v>2676</v>
      </c>
      <c r="B610" s="126" t="s">
        <v>3191</v>
      </c>
      <c r="C610" s="98" t="s">
        <v>2629</v>
      </c>
      <c r="D610" s="98" t="s">
        <v>1372</v>
      </c>
      <c r="E610" s="559" t="s">
        <v>4323</v>
      </c>
      <c r="F610" s="540" t="s">
        <v>4324</v>
      </c>
      <c r="G610" s="511" t="s">
        <v>1175</v>
      </c>
      <c r="H610" s="511" t="s">
        <v>3126</v>
      </c>
      <c r="I610" s="544" t="s">
        <v>4270</v>
      </c>
      <c r="J610" s="542" t="s">
        <v>208</v>
      </c>
      <c r="K610" s="543" t="s">
        <v>2887</v>
      </c>
      <c r="L610" s="95"/>
      <c r="M610" s="104"/>
      <c r="N610" s="137">
        <v>0</v>
      </c>
      <c r="O610" s="138">
        <v>3000</v>
      </c>
      <c r="P610" s="138">
        <v>0</v>
      </c>
      <c r="Q610" s="138">
        <v>0</v>
      </c>
      <c r="R610" s="138">
        <v>0</v>
      </c>
      <c r="S610" s="139">
        <v>0</v>
      </c>
      <c r="T610" s="322">
        <f t="shared" si="117"/>
        <v>0</v>
      </c>
      <c r="U610" s="140" t="str">
        <f t="shared" si="118"/>
        <v/>
      </c>
      <c r="V610" s="322">
        <f t="shared" si="114"/>
        <v>-3000</v>
      </c>
      <c r="W610" s="140">
        <f t="shared" si="119"/>
        <v>-1</v>
      </c>
      <c r="X610" s="322">
        <f t="shared" si="120"/>
        <v>0</v>
      </c>
      <c r="Y610" s="140" t="str">
        <f t="shared" si="121"/>
        <v/>
      </c>
      <c r="Z610" s="519">
        <v>0</v>
      </c>
      <c r="AA610" s="111">
        <f t="shared" si="115"/>
        <v>0</v>
      </c>
      <c r="AB610" s="111">
        <f t="shared" si="116"/>
        <v>0</v>
      </c>
    </row>
    <row r="611" spans="1:28" ht="36.75" customHeight="1">
      <c r="A611" s="116" t="s">
        <v>2342</v>
      </c>
      <c r="B611" s="126" t="s">
        <v>3191</v>
      </c>
      <c r="C611" s="98" t="s">
        <v>2629</v>
      </c>
      <c r="D611" s="98" t="s">
        <v>1555</v>
      </c>
      <c r="E611" s="559" t="s">
        <v>4325</v>
      </c>
      <c r="F611" s="540" t="s">
        <v>4326</v>
      </c>
      <c r="G611" s="511" t="s">
        <v>1181</v>
      </c>
      <c r="H611" s="511" t="s">
        <v>3128</v>
      </c>
      <c r="I611" s="544" t="s">
        <v>4276</v>
      </c>
      <c r="J611" s="542" t="s">
        <v>2888</v>
      </c>
      <c r="K611" s="543" t="s">
        <v>2889</v>
      </c>
      <c r="L611" s="95"/>
      <c r="M611" s="104"/>
      <c r="N611" s="137">
        <v>5038</v>
      </c>
      <c r="O611" s="138">
        <v>5000</v>
      </c>
      <c r="P611" s="138">
        <v>5000</v>
      </c>
      <c r="Q611" s="138">
        <v>5000</v>
      </c>
      <c r="R611" s="138">
        <v>5000</v>
      </c>
      <c r="S611" s="139">
        <v>5000</v>
      </c>
      <c r="T611" s="322">
        <f t="shared" si="117"/>
        <v>-38</v>
      </c>
      <c r="U611" s="140">
        <f t="shared" si="118"/>
        <v>-7.5426756649464074E-3</v>
      </c>
      <c r="V611" s="322">
        <f t="shared" si="114"/>
        <v>0</v>
      </c>
      <c r="W611" s="140">
        <f t="shared" si="119"/>
        <v>0</v>
      </c>
      <c r="X611" s="322">
        <f t="shared" si="120"/>
        <v>0</v>
      </c>
      <c r="Y611" s="140">
        <f t="shared" si="121"/>
        <v>0</v>
      </c>
      <c r="Z611" s="519">
        <v>4000</v>
      </c>
      <c r="AA611" s="111">
        <f t="shared" si="115"/>
        <v>5333.333333333333</v>
      </c>
      <c r="AB611" s="111">
        <f t="shared" si="116"/>
        <v>-333.33333333333303</v>
      </c>
    </row>
    <row r="612" spans="1:28" ht="36.75" customHeight="1">
      <c r="A612" s="116" t="s">
        <v>2677</v>
      </c>
      <c r="B612" s="126" t="s">
        <v>3191</v>
      </c>
      <c r="C612" s="98" t="s">
        <v>2629</v>
      </c>
      <c r="D612" s="98" t="s">
        <v>3152</v>
      </c>
      <c r="E612" s="559" t="s">
        <v>4327</v>
      </c>
      <c r="F612" s="540" t="s">
        <v>4328</v>
      </c>
      <c r="G612" s="511" t="s">
        <v>1183</v>
      </c>
      <c r="H612" s="511" t="s">
        <v>3130</v>
      </c>
      <c r="I612" s="544" t="s">
        <v>4278</v>
      </c>
      <c r="J612" s="542" t="s">
        <v>2888</v>
      </c>
      <c r="K612" s="543" t="s">
        <v>2889</v>
      </c>
      <c r="L612" s="95"/>
      <c r="M612" s="104"/>
      <c r="N612" s="137">
        <v>4072</v>
      </c>
      <c r="O612" s="138">
        <v>0</v>
      </c>
      <c r="P612" s="138">
        <v>4000</v>
      </c>
      <c r="Q612" s="138">
        <v>4000</v>
      </c>
      <c r="R612" s="138">
        <v>4000</v>
      </c>
      <c r="S612" s="139">
        <v>4000</v>
      </c>
      <c r="T612" s="322">
        <f t="shared" si="117"/>
        <v>-72</v>
      </c>
      <c r="U612" s="140">
        <f t="shared" si="118"/>
        <v>-1.768172888015717E-2</v>
      </c>
      <c r="V612" s="322">
        <f t="shared" si="114"/>
        <v>4000</v>
      </c>
      <c r="W612" s="140" t="str">
        <f t="shared" si="119"/>
        <v/>
      </c>
      <c r="X612" s="322">
        <f t="shared" si="120"/>
        <v>0</v>
      </c>
      <c r="Y612" s="140">
        <f t="shared" si="121"/>
        <v>0</v>
      </c>
      <c r="Z612" s="519">
        <v>3000</v>
      </c>
      <c r="AA612" s="111">
        <f t="shared" si="115"/>
        <v>4000</v>
      </c>
      <c r="AB612" s="111">
        <f t="shared" si="116"/>
        <v>0</v>
      </c>
    </row>
    <row r="613" spans="1:28" ht="36.75" customHeight="1">
      <c r="A613" s="114" t="s">
        <v>2343</v>
      </c>
      <c r="B613" s="125" t="s">
        <v>3191</v>
      </c>
      <c r="C613" s="97" t="s">
        <v>2629</v>
      </c>
      <c r="D613" s="97" t="s">
        <v>2291</v>
      </c>
      <c r="E613" s="559" t="s">
        <v>4329</v>
      </c>
      <c r="F613" s="540" t="s">
        <v>4330</v>
      </c>
      <c r="G613" s="512" t="s">
        <v>4886</v>
      </c>
      <c r="H613" s="512" t="s">
        <v>5002</v>
      </c>
      <c r="I613" s="541" t="s">
        <v>5003</v>
      </c>
      <c r="J613" s="576" t="s">
        <v>2909</v>
      </c>
      <c r="K613" s="577" t="s">
        <v>2725</v>
      </c>
      <c r="L613" s="95"/>
      <c r="M613" s="104"/>
      <c r="N613" s="137">
        <v>37158.01</v>
      </c>
      <c r="O613" s="138">
        <v>35940</v>
      </c>
      <c r="P613" s="138">
        <v>38000</v>
      </c>
      <c r="Q613" s="138">
        <v>38000</v>
      </c>
      <c r="R613" s="138">
        <v>38000</v>
      </c>
      <c r="S613" s="139">
        <v>38000</v>
      </c>
      <c r="T613" s="322">
        <f t="shared" si="117"/>
        <v>841.98999999999796</v>
      </c>
      <c r="U613" s="140">
        <f t="shared" si="118"/>
        <v>2.2659717245352963E-2</v>
      </c>
      <c r="V613" s="322">
        <f t="shared" si="114"/>
        <v>2060</v>
      </c>
      <c r="W613" s="140">
        <f t="shared" si="119"/>
        <v>5.7317751808569836E-2</v>
      </c>
      <c r="X613" s="322">
        <f t="shared" si="120"/>
        <v>0</v>
      </c>
      <c r="Y613" s="140">
        <f t="shared" si="121"/>
        <v>0</v>
      </c>
      <c r="Z613" s="519">
        <v>29000</v>
      </c>
      <c r="AA613" s="111">
        <f t="shared" si="115"/>
        <v>38666.666666666664</v>
      </c>
      <c r="AB613" s="111">
        <f t="shared" si="116"/>
        <v>-666.66666666666424</v>
      </c>
    </row>
    <row r="614" spans="1:28" ht="36.75" customHeight="1">
      <c r="A614" s="114" t="s">
        <v>2678</v>
      </c>
      <c r="B614" s="125" t="s">
        <v>3191</v>
      </c>
      <c r="C614" s="97" t="s">
        <v>2629</v>
      </c>
      <c r="D614" s="97" t="s">
        <v>2632</v>
      </c>
      <c r="E614" s="559" t="s">
        <v>4331</v>
      </c>
      <c r="F614" s="540" t="s">
        <v>4332</v>
      </c>
      <c r="G614" s="512" t="s">
        <v>4886</v>
      </c>
      <c r="H614" s="512" t="s">
        <v>5002</v>
      </c>
      <c r="I614" s="541" t="s">
        <v>5003</v>
      </c>
      <c r="J614" s="576" t="s">
        <v>2909</v>
      </c>
      <c r="K614" s="577" t="s">
        <v>2725</v>
      </c>
      <c r="L614" s="95"/>
      <c r="M614" s="104"/>
      <c r="N614" s="137">
        <v>188.79</v>
      </c>
      <c r="O614" s="138">
        <v>2060</v>
      </c>
      <c r="P614" s="138">
        <v>0</v>
      </c>
      <c r="Q614" s="138">
        <v>0</v>
      </c>
      <c r="R614" s="138">
        <v>0</v>
      </c>
      <c r="S614" s="139">
        <v>0</v>
      </c>
      <c r="T614" s="322">
        <f t="shared" si="117"/>
        <v>-188.79</v>
      </c>
      <c r="U614" s="140">
        <f t="shared" si="118"/>
        <v>-1</v>
      </c>
      <c r="V614" s="322">
        <f t="shared" si="114"/>
        <v>-2060</v>
      </c>
      <c r="W614" s="140">
        <f t="shared" si="119"/>
        <v>-1</v>
      </c>
      <c r="X614" s="322">
        <f t="shared" si="120"/>
        <v>0</v>
      </c>
      <c r="Y614" s="140" t="str">
        <f t="shared" si="121"/>
        <v/>
      </c>
      <c r="Z614" s="519">
        <v>0</v>
      </c>
      <c r="AA614" s="111">
        <f t="shared" si="115"/>
        <v>0</v>
      </c>
      <c r="AB614" s="111">
        <f t="shared" si="116"/>
        <v>0</v>
      </c>
    </row>
    <row r="615" spans="1:28" ht="36.75" customHeight="1">
      <c r="A615" s="116" t="s">
        <v>2344</v>
      </c>
      <c r="B615" s="126" t="s">
        <v>3191</v>
      </c>
      <c r="C615" s="98" t="s">
        <v>2629</v>
      </c>
      <c r="D615" s="98" t="s">
        <v>80</v>
      </c>
      <c r="E615" s="559" t="s">
        <v>4333</v>
      </c>
      <c r="F615" s="540" t="s">
        <v>5556</v>
      </c>
      <c r="G615" s="512" t="s">
        <v>4886</v>
      </c>
      <c r="H615" s="512" t="s">
        <v>5002</v>
      </c>
      <c r="I615" s="541" t="s">
        <v>5003</v>
      </c>
      <c r="J615" s="576" t="s">
        <v>2909</v>
      </c>
      <c r="K615" s="577" t="s">
        <v>2725</v>
      </c>
      <c r="L615" s="95"/>
      <c r="M615" s="104"/>
      <c r="N615" s="137">
        <v>710035.55</v>
      </c>
      <c r="O615" s="138">
        <v>291530</v>
      </c>
      <c r="P615" s="138">
        <v>710000</v>
      </c>
      <c r="Q615" s="138">
        <v>710000</v>
      </c>
      <c r="R615" s="138">
        <v>710000</v>
      </c>
      <c r="S615" s="139">
        <v>710000</v>
      </c>
      <c r="T615" s="322">
        <f t="shared" si="117"/>
        <v>-35.550000000046566</v>
      </c>
      <c r="U615" s="140">
        <f t="shared" si="118"/>
        <v>-5.0067915613586618E-5</v>
      </c>
      <c r="V615" s="322">
        <f t="shared" si="114"/>
        <v>418470</v>
      </c>
      <c r="W615" s="140">
        <f t="shared" si="119"/>
        <v>1.4354268857407471</v>
      </c>
      <c r="X615" s="322">
        <f t="shared" si="120"/>
        <v>0</v>
      </c>
      <c r="Y615" s="140">
        <f t="shared" si="121"/>
        <v>0</v>
      </c>
      <c r="Z615" s="519">
        <v>533000</v>
      </c>
      <c r="AA615" s="111">
        <f t="shared" si="115"/>
        <v>710666.66666666663</v>
      </c>
      <c r="AB615" s="111">
        <f t="shared" si="116"/>
        <v>-666.66666666662786</v>
      </c>
    </row>
    <row r="616" spans="1:28" ht="36.75" customHeight="1">
      <c r="A616" s="116" t="s">
        <v>2679</v>
      </c>
      <c r="B616" s="126" t="s">
        <v>3191</v>
      </c>
      <c r="C616" s="98" t="s">
        <v>2629</v>
      </c>
      <c r="D616" s="98" t="s">
        <v>3413</v>
      </c>
      <c r="E616" s="559" t="s">
        <v>4334</v>
      </c>
      <c r="F616" s="540" t="s">
        <v>5557</v>
      </c>
      <c r="G616" s="512" t="s">
        <v>4886</v>
      </c>
      <c r="H616" s="512" t="s">
        <v>5002</v>
      </c>
      <c r="I616" s="541" t="s">
        <v>5003</v>
      </c>
      <c r="J616" s="576" t="s">
        <v>2909</v>
      </c>
      <c r="K616" s="577" t="s">
        <v>2725</v>
      </c>
      <c r="L616" s="95"/>
      <c r="M616" s="104"/>
      <c r="N616" s="137">
        <v>7976.66</v>
      </c>
      <c r="O616" s="138">
        <v>24550</v>
      </c>
      <c r="P616" s="138">
        <v>8000</v>
      </c>
      <c r="Q616" s="138">
        <v>8000</v>
      </c>
      <c r="R616" s="138">
        <v>8000</v>
      </c>
      <c r="S616" s="139">
        <v>8000</v>
      </c>
      <c r="T616" s="322">
        <f t="shared" si="117"/>
        <v>23.340000000000146</v>
      </c>
      <c r="U616" s="140">
        <f t="shared" si="118"/>
        <v>2.926036712107592E-3</v>
      </c>
      <c r="V616" s="322">
        <f t="shared" si="114"/>
        <v>-16550</v>
      </c>
      <c r="W616" s="140">
        <f t="shared" si="119"/>
        <v>-0.67413441955193487</v>
      </c>
      <c r="X616" s="322">
        <f t="shared" si="120"/>
        <v>0</v>
      </c>
      <c r="Y616" s="140">
        <f t="shared" si="121"/>
        <v>0</v>
      </c>
      <c r="Z616" s="519">
        <v>6000</v>
      </c>
      <c r="AA616" s="111">
        <f t="shared" si="115"/>
        <v>8000</v>
      </c>
      <c r="AB616" s="111">
        <f t="shared" si="116"/>
        <v>0</v>
      </c>
    </row>
    <row r="617" spans="1:28" ht="15.75" customHeight="1">
      <c r="A617" s="113" t="s">
        <v>2345</v>
      </c>
      <c r="B617" s="135" t="s">
        <v>2346</v>
      </c>
      <c r="C617" s="136" t="s">
        <v>3184</v>
      </c>
      <c r="D617" s="136" t="s">
        <v>3185</v>
      </c>
      <c r="E617" s="529" t="s">
        <v>2348</v>
      </c>
      <c r="F617" s="529" t="s">
        <v>2347</v>
      </c>
      <c r="G617" s="530"/>
      <c r="H617" s="530"/>
      <c r="I617" s="531"/>
      <c r="J617" s="532"/>
      <c r="K617" s="533"/>
      <c r="L617" s="95"/>
      <c r="M617" s="147"/>
      <c r="N617" s="137">
        <v>0</v>
      </c>
      <c r="O617" s="138">
        <v>0</v>
      </c>
      <c r="P617" s="138">
        <v>0</v>
      </c>
      <c r="Q617" s="138">
        <v>0</v>
      </c>
      <c r="R617" s="138">
        <v>0</v>
      </c>
      <c r="S617" s="139">
        <v>0</v>
      </c>
      <c r="T617" s="322">
        <f t="shared" si="117"/>
        <v>0</v>
      </c>
      <c r="U617" s="140" t="str">
        <f t="shared" si="118"/>
        <v/>
      </c>
      <c r="V617" s="322">
        <f t="shared" si="114"/>
        <v>0</v>
      </c>
      <c r="W617" s="140" t="str">
        <f t="shared" si="119"/>
        <v/>
      </c>
      <c r="X617" s="322">
        <f t="shared" si="120"/>
        <v>0</v>
      </c>
      <c r="Y617" s="140" t="str">
        <f t="shared" si="121"/>
        <v/>
      </c>
      <c r="Z617" s="519">
        <v>0</v>
      </c>
      <c r="AA617" s="111">
        <f t="shared" si="115"/>
        <v>0</v>
      </c>
      <c r="AB617" s="111">
        <f t="shared" si="116"/>
        <v>0</v>
      </c>
    </row>
    <row r="618" spans="1:28" ht="28.5" customHeight="1">
      <c r="A618" s="115" t="s">
        <v>2349</v>
      </c>
      <c r="B618" s="124" t="s">
        <v>2346</v>
      </c>
      <c r="C618" s="101" t="s">
        <v>3186</v>
      </c>
      <c r="D618" s="101" t="s">
        <v>3185</v>
      </c>
      <c r="E618" s="554" t="s">
        <v>2680</v>
      </c>
      <c r="F618" s="534" t="s">
        <v>5322</v>
      </c>
      <c r="G618" s="555"/>
      <c r="H618" s="555"/>
      <c r="I618" s="556"/>
      <c r="J618" s="557"/>
      <c r="K618" s="558"/>
      <c r="L618" s="95"/>
      <c r="M618" s="104"/>
      <c r="N618" s="137">
        <v>0</v>
      </c>
      <c r="O618" s="138">
        <v>0</v>
      </c>
      <c r="P618" s="138">
        <v>0</v>
      </c>
      <c r="Q618" s="138">
        <v>0</v>
      </c>
      <c r="R618" s="138">
        <v>0</v>
      </c>
      <c r="S618" s="139">
        <v>0</v>
      </c>
      <c r="T618" s="322">
        <f t="shared" si="117"/>
        <v>0</v>
      </c>
      <c r="U618" s="140" t="str">
        <f t="shared" si="118"/>
        <v/>
      </c>
      <c r="V618" s="322">
        <f t="shared" si="114"/>
        <v>0</v>
      </c>
      <c r="W618" s="140" t="str">
        <f t="shared" si="119"/>
        <v/>
      </c>
      <c r="X618" s="322">
        <f t="shared" si="120"/>
        <v>0</v>
      </c>
      <c r="Y618" s="140" t="str">
        <f t="shared" si="121"/>
        <v/>
      </c>
      <c r="Z618" s="519">
        <v>0</v>
      </c>
      <c r="AA618" s="111">
        <f t="shared" si="115"/>
        <v>0</v>
      </c>
      <c r="AB618" s="111">
        <f t="shared" si="116"/>
        <v>0</v>
      </c>
    </row>
    <row r="619" spans="1:28" ht="28.5" customHeight="1">
      <c r="A619" s="116" t="s">
        <v>2681</v>
      </c>
      <c r="B619" s="126" t="s">
        <v>2346</v>
      </c>
      <c r="C619" s="98" t="s">
        <v>3186</v>
      </c>
      <c r="D619" s="98" t="s">
        <v>3099</v>
      </c>
      <c r="E619" s="540" t="s">
        <v>5558</v>
      </c>
      <c r="F619" s="540" t="s">
        <v>2682</v>
      </c>
      <c r="G619" s="511" t="s">
        <v>665</v>
      </c>
      <c r="H619" s="511" t="s">
        <v>2683</v>
      </c>
      <c r="I619" s="544" t="s">
        <v>2684</v>
      </c>
      <c r="J619" s="542" t="s">
        <v>3602</v>
      </c>
      <c r="K619" s="543" t="s">
        <v>2351</v>
      </c>
      <c r="L619" s="95"/>
      <c r="M619" s="104"/>
      <c r="N619" s="137">
        <v>0</v>
      </c>
      <c r="O619" s="138">
        <v>0</v>
      </c>
      <c r="P619" s="138">
        <v>0</v>
      </c>
      <c r="Q619" s="138">
        <v>0</v>
      </c>
      <c r="R619" s="138">
        <v>0</v>
      </c>
      <c r="S619" s="139">
        <v>0</v>
      </c>
      <c r="T619" s="322">
        <f t="shared" si="117"/>
        <v>0</v>
      </c>
      <c r="U619" s="140" t="str">
        <f t="shared" si="118"/>
        <v/>
      </c>
      <c r="V619" s="322">
        <f t="shared" si="114"/>
        <v>0</v>
      </c>
      <c r="W619" s="140" t="str">
        <f t="shared" si="119"/>
        <v/>
      </c>
      <c r="X619" s="322">
        <f t="shared" si="120"/>
        <v>0</v>
      </c>
      <c r="Y619" s="140" t="str">
        <f t="shared" si="121"/>
        <v/>
      </c>
      <c r="Z619" s="519">
        <v>0</v>
      </c>
      <c r="AA619" s="111">
        <f t="shared" si="115"/>
        <v>0</v>
      </c>
      <c r="AB619" s="111">
        <f t="shared" si="116"/>
        <v>0</v>
      </c>
    </row>
    <row r="620" spans="1:28" ht="28.5" customHeight="1">
      <c r="A620" s="114" t="s">
        <v>2350</v>
      </c>
      <c r="B620" s="125" t="s">
        <v>2346</v>
      </c>
      <c r="C620" s="97" t="s">
        <v>3186</v>
      </c>
      <c r="D620" s="97" t="s">
        <v>3183</v>
      </c>
      <c r="E620" s="559" t="s">
        <v>5559</v>
      </c>
      <c r="F620" s="540" t="s">
        <v>2685</v>
      </c>
      <c r="G620" s="555" t="s">
        <v>667</v>
      </c>
      <c r="H620" s="555" t="s">
        <v>2686</v>
      </c>
      <c r="I620" s="556" t="s">
        <v>2687</v>
      </c>
      <c r="J620" s="542" t="s">
        <v>3602</v>
      </c>
      <c r="K620" s="543" t="s">
        <v>2351</v>
      </c>
      <c r="L620" s="95"/>
      <c r="M620" s="104"/>
      <c r="N620" s="137">
        <v>1865122.84</v>
      </c>
      <c r="O620" s="138">
        <v>1820000</v>
      </c>
      <c r="P620" s="138">
        <v>2270000</v>
      </c>
      <c r="Q620" s="138">
        <v>2270000</v>
      </c>
      <c r="R620" s="138">
        <v>2270000</v>
      </c>
      <c r="S620" s="139">
        <v>2270000</v>
      </c>
      <c r="T620" s="322">
        <f t="shared" si="117"/>
        <v>404877.15999999992</v>
      </c>
      <c r="U620" s="140">
        <f t="shared" si="118"/>
        <v>0.21707801294203222</v>
      </c>
      <c r="V620" s="322">
        <f t="shared" si="114"/>
        <v>450000</v>
      </c>
      <c r="W620" s="140">
        <f t="shared" si="119"/>
        <v>0.24725274725274726</v>
      </c>
      <c r="X620" s="322">
        <f t="shared" si="120"/>
        <v>0</v>
      </c>
      <c r="Y620" s="140">
        <f t="shared" si="121"/>
        <v>0</v>
      </c>
      <c r="Z620" s="519">
        <v>1702336.05</v>
      </c>
      <c r="AA620" s="111">
        <f t="shared" si="115"/>
        <v>2269781.4</v>
      </c>
      <c r="AB620" s="111">
        <f t="shared" si="116"/>
        <v>218.60000000009313</v>
      </c>
    </row>
    <row r="621" spans="1:28" ht="36" customHeight="1">
      <c r="A621" s="114" t="s">
        <v>2688</v>
      </c>
      <c r="B621" s="125" t="s">
        <v>2346</v>
      </c>
      <c r="C621" s="97" t="s">
        <v>3186</v>
      </c>
      <c r="D621" s="97" t="s">
        <v>3193</v>
      </c>
      <c r="E621" s="540" t="s">
        <v>5560</v>
      </c>
      <c r="F621" s="540" t="s">
        <v>2689</v>
      </c>
      <c r="G621" s="555" t="s">
        <v>329</v>
      </c>
      <c r="H621" s="555" t="s">
        <v>2690</v>
      </c>
      <c r="I621" s="556" t="s">
        <v>2691</v>
      </c>
      <c r="J621" s="542" t="s">
        <v>3602</v>
      </c>
      <c r="K621" s="543" t="s">
        <v>2351</v>
      </c>
      <c r="L621" s="95"/>
      <c r="M621" s="104"/>
      <c r="N621" s="137">
        <v>112393.15</v>
      </c>
      <c r="O621" s="138">
        <v>120000</v>
      </c>
      <c r="P621" s="138">
        <v>120000</v>
      </c>
      <c r="Q621" s="138">
        <v>120000</v>
      </c>
      <c r="R621" s="138">
        <v>122000</v>
      </c>
      <c r="S621" s="139">
        <v>125000</v>
      </c>
      <c r="T621" s="322">
        <f t="shared" si="117"/>
        <v>7606.8500000000058</v>
      </c>
      <c r="U621" s="140">
        <f t="shared" si="118"/>
        <v>6.768072609407251E-2</v>
      </c>
      <c r="V621" s="322">
        <f t="shared" si="114"/>
        <v>0</v>
      </c>
      <c r="W621" s="140">
        <f t="shared" si="119"/>
        <v>0</v>
      </c>
      <c r="X621" s="322">
        <f t="shared" si="120"/>
        <v>0</v>
      </c>
      <c r="Y621" s="140">
        <f t="shared" si="121"/>
        <v>0</v>
      </c>
      <c r="Z621" s="519">
        <v>89644.959999999992</v>
      </c>
      <c r="AA621" s="111">
        <f t="shared" si="115"/>
        <v>119526.61333333333</v>
      </c>
      <c r="AB621" s="111">
        <f t="shared" si="116"/>
        <v>473.38666666667268</v>
      </c>
    </row>
    <row r="622" spans="1:28" ht="28.5" customHeight="1">
      <c r="A622" s="114" t="s">
        <v>2692</v>
      </c>
      <c r="B622" s="125" t="s">
        <v>2346</v>
      </c>
      <c r="C622" s="97" t="s">
        <v>3186</v>
      </c>
      <c r="D622" s="97" t="s">
        <v>1404</v>
      </c>
      <c r="E622" s="559" t="s">
        <v>5561</v>
      </c>
      <c r="F622" s="540" t="s">
        <v>3519</v>
      </c>
      <c r="G622" s="555" t="s">
        <v>333</v>
      </c>
      <c r="H622" s="555" t="s">
        <v>3520</v>
      </c>
      <c r="I622" s="556" t="s">
        <v>3521</v>
      </c>
      <c r="J622" s="542" t="s">
        <v>3602</v>
      </c>
      <c r="K622" s="543" t="s">
        <v>2351</v>
      </c>
      <c r="L622" s="95"/>
      <c r="M622" s="104"/>
      <c r="N622" s="137">
        <v>34688.980000000003</v>
      </c>
      <c r="O622" s="138">
        <v>365000</v>
      </c>
      <c r="P622" s="138">
        <v>142000</v>
      </c>
      <c r="Q622" s="138">
        <v>142000</v>
      </c>
      <c r="R622" s="138">
        <v>142000</v>
      </c>
      <c r="S622" s="139">
        <v>142000</v>
      </c>
      <c r="T622" s="322">
        <f t="shared" si="117"/>
        <v>107311.01999999999</v>
      </c>
      <c r="U622" s="140">
        <f t="shared" si="118"/>
        <v>3.0935190368814527</v>
      </c>
      <c r="V622" s="322">
        <f t="shared" si="114"/>
        <v>-223000</v>
      </c>
      <c r="W622" s="140">
        <f t="shared" si="119"/>
        <v>-0.61095890410958908</v>
      </c>
      <c r="X622" s="322">
        <f t="shared" si="120"/>
        <v>0</v>
      </c>
      <c r="Y622" s="140">
        <f t="shared" si="121"/>
        <v>0</v>
      </c>
      <c r="Z622" s="519">
        <v>106635.58</v>
      </c>
      <c r="AA622" s="111">
        <f t="shared" si="115"/>
        <v>142180.77333333335</v>
      </c>
      <c r="AB622" s="111">
        <f t="shared" si="116"/>
        <v>-180.77333333334536</v>
      </c>
    </row>
    <row r="623" spans="1:28" ht="36" customHeight="1">
      <c r="A623" s="114" t="s">
        <v>3522</v>
      </c>
      <c r="B623" s="125" t="s">
        <v>2346</v>
      </c>
      <c r="C623" s="97" t="s">
        <v>3186</v>
      </c>
      <c r="D623" s="97" t="s">
        <v>1405</v>
      </c>
      <c r="E623" s="559" t="s">
        <v>5562</v>
      </c>
      <c r="F623" s="559" t="s">
        <v>3523</v>
      </c>
      <c r="G623" s="555" t="s">
        <v>1354</v>
      </c>
      <c r="H623" s="512" t="s">
        <v>4947</v>
      </c>
      <c r="I623" s="544" t="s">
        <v>3469</v>
      </c>
      <c r="J623" s="542" t="s">
        <v>2604</v>
      </c>
      <c r="K623" s="543" t="s">
        <v>3581</v>
      </c>
      <c r="L623" s="95"/>
      <c r="M623" s="104"/>
      <c r="N623" s="137">
        <v>14534.5</v>
      </c>
      <c r="O623" s="138">
        <v>33000</v>
      </c>
      <c r="P623" s="138">
        <v>368000</v>
      </c>
      <c r="Q623" s="138">
        <v>1368000</v>
      </c>
      <c r="R623" s="138">
        <v>1368000</v>
      </c>
      <c r="S623" s="139">
        <v>1368000</v>
      </c>
      <c r="T623" s="322">
        <f t="shared" si="117"/>
        <v>1353465.5</v>
      </c>
      <c r="U623" s="140">
        <f t="shared" si="118"/>
        <v>93.120884791358492</v>
      </c>
      <c r="V623" s="322">
        <f t="shared" si="114"/>
        <v>1335000</v>
      </c>
      <c r="W623" s="140">
        <f t="shared" si="119"/>
        <v>40.454545454545453</v>
      </c>
      <c r="X623" s="322">
        <f t="shared" si="120"/>
        <v>1000000</v>
      </c>
      <c r="Y623" s="140">
        <f t="shared" si="121"/>
        <v>2.7173913043478262</v>
      </c>
      <c r="Z623" s="519">
        <v>275888.73</v>
      </c>
      <c r="AA623" s="111">
        <f t="shared" si="115"/>
        <v>367851.63999999996</v>
      </c>
      <c r="AB623" s="111">
        <f t="shared" si="116"/>
        <v>148.36000000004424</v>
      </c>
    </row>
    <row r="624" spans="1:28" ht="28.5" customHeight="1">
      <c r="A624" s="115" t="s">
        <v>2352</v>
      </c>
      <c r="B624" s="124" t="s">
        <v>2346</v>
      </c>
      <c r="C624" s="101" t="s">
        <v>2759</v>
      </c>
      <c r="D624" s="101" t="s">
        <v>3185</v>
      </c>
      <c r="E624" s="534" t="s">
        <v>2354</v>
      </c>
      <c r="F624" s="534" t="s">
        <v>2353</v>
      </c>
      <c r="G624" s="555"/>
      <c r="H624" s="555"/>
      <c r="I624" s="556"/>
      <c r="J624" s="557"/>
      <c r="K624" s="558"/>
      <c r="L624" s="95"/>
      <c r="M624" s="104"/>
      <c r="N624" s="137">
        <v>0</v>
      </c>
      <c r="O624" s="138">
        <v>0</v>
      </c>
      <c r="P624" s="138">
        <v>0</v>
      </c>
      <c r="Q624" s="138">
        <v>0</v>
      </c>
      <c r="R624" s="138">
        <v>0</v>
      </c>
      <c r="S624" s="139">
        <v>0</v>
      </c>
      <c r="T624" s="322">
        <f t="shared" si="117"/>
        <v>0</v>
      </c>
      <c r="U624" s="140" t="str">
        <f t="shared" si="118"/>
        <v/>
      </c>
      <c r="V624" s="322">
        <f t="shared" si="114"/>
        <v>0</v>
      </c>
      <c r="W624" s="140" t="str">
        <f t="shared" si="119"/>
        <v/>
      </c>
      <c r="X624" s="322">
        <f t="shared" si="120"/>
        <v>0</v>
      </c>
      <c r="Y624" s="140" t="str">
        <f t="shared" si="121"/>
        <v/>
      </c>
      <c r="Z624" s="519">
        <v>0</v>
      </c>
      <c r="AA624" s="111">
        <f t="shared" si="115"/>
        <v>0</v>
      </c>
      <c r="AB624" s="111">
        <f t="shared" si="116"/>
        <v>0</v>
      </c>
    </row>
    <row r="625" spans="1:28" ht="28.5" customHeight="1">
      <c r="A625" s="114" t="s">
        <v>2355</v>
      </c>
      <c r="B625" s="125" t="s">
        <v>2346</v>
      </c>
      <c r="C625" s="97" t="s">
        <v>2759</v>
      </c>
      <c r="D625" s="97" t="s">
        <v>3183</v>
      </c>
      <c r="E625" s="540" t="s">
        <v>5563</v>
      </c>
      <c r="F625" s="540" t="s">
        <v>5323</v>
      </c>
      <c r="G625" s="555" t="s">
        <v>578</v>
      </c>
      <c r="H625" s="555" t="s">
        <v>3745</v>
      </c>
      <c r="I625" s="556" t="s">
        <v>4029</v>
      </c>
      <c r="J625" s="557" t="s">
        <v>1008</v>
      </c>
      <c r="K625" s="558" t="s">
        <v>2884</v>
      </c>
      <c r="L625" s="95"/>
      <c r="M625" s="104"/>
      <c r="N625" s="137">
        <v>6943284.1500000004</v>
      </c>
      <c r="O625" s="138">
        <v>6320000</v>
      </c>
      <c r="P625" s="138">
        <v>7281000</v>
      </c>
      <c r="Q625" s="138">
        <v>7286000</v>
      </c>
      <c r="R625" s="138">
        <v>7291000</v>
      </c>
      <c r="S625" s="139">
        <v>7296000</v>
      </c>
      <c r="T625" s="322">
        <f t="shared" si="117"/>
        <v>342715.84999999963</v>
      </c>
      <c r="U625" s="140">
        <f t="shared" si="118"/>
        <v>4.9359329475231056E-2</v>
      </c>
      <c r="V625" s="322">
        <f t="shared" si="114"/>
        <v>966000</v>
      </c>
      <c r="W625" s="140">
        <f t="shared" si="119"/>
        <v>0.15284810126582279</v>
      </c>
      <c r="X625" s="322">
        <f t="shared" si="120"/>
        <v>5000</v>
      </c>
      <c r="Y625" s="140">
        <f t="shared" si="121"/>
        <v>6.8671885729982142E-4</v>
      </c>
      <c r="Z625" s="519">
        <v>5461109.3199999994</v>
      </c>
      <c r="AA625" s="111">
        <f t="shared" si="115"/>
        <v>7281479.0933333328</v>
      </c>
      <c r="AB625" s="111">
        <f t="shared" si="116"/>
        <v>-479.09333333279938</v>
      </c>
    </row>
    <row r="626" spans="1:28" ht="28.5" customHeight="1">
      <c r="A626" s="114" t="s">
        <v>2356</v>
      </c>
      <c r="B626" s="125" t="s">
        <v>2346</v>
      </c>
      <c r="C626" s="97" t="s">
        <v>2759</v>
      </c>
      <c r="D626" s="97" t="s">
        <v>2833</v>
      </c>
      <c r="E626" s="540" t="s">
        <v>5564</v>
      </c>
      <c r="F626" s="540" t="s">
        <v>5565</v>
      </c>
      <c r="G626" s="555" t="s">
        <v>586</v>
      </c>
      <c r="H626" s="555" t="s">
        <v>3749</v>
      </c>
      <c r="I626" s="556" t="s">
        <v>4039</v>
      </c>
      <c r="J626" s="557" t="s">
        <v>1031</v>
      </c>
      <c r="K626" s="558" t="s">
        <v>2885</v>
      </c>
      <c r="L626" s="95"/>
      <c r="M626" s="104"/>
      <c r="N626" s="137">
        <v>70340.03</v>
      </c>
      <c r="O626" s="138">
        <v>119000</v>
      </c>
      <c r="P626" s="138">
        <v>24000</v>
      </c>
      <c r="Q626" s="138">
        <v>24000</v>
      </c>
      <c r="R626" s="138">
        <v>24000</v>
      </c>
      <c r="S626" s="139">
        <v>24000</v>
      </c>
      <c r="T626" s="322">
        <f t="shared" si="117"/>
        <v>-46340.03</v>
      </c>
      <c r="U626" s="140">
        <f t="shared" si="118"/>
        <v>-0.65880025925493635</v>
      </c>
      <c r="V626" s="322">
        <f t="shared" si="114"/>
        <v>-95000</v>
      </c>
      <c r="W626" s="140">
        <f t="shared" si="119"/>
        <v>-0.79831932773109249</v>
      </c>
      <c r="X626" s="322">
        <f t="shared" si="120"/>
        <v>0</v>
      </c>
      <c r="Y626" s="140">
        <f t="shared" si="121"/>
        <v>0</v>
      </c>
      <c r="Z626" s="519">
        <v>17905.55</v>
      </c>
      <c r="AA626" s="111">
        <f t="shared" si="115"/>
        <v>23874.066666666666</v>
      </c>
      <c r="AB626" s="111">
        <f t="shared" si="116"/>
        <v>125.9333333333343</v>
      </c>
    </row>
    <row r="627" spans="1:28" ht="28.5" customHeight="1">
      <c r="A627" s="114" t="s">
        <v>2357</v>
      </c>
      <c r="B627" s="125" t="s">
        <v>2346</v>
      </c>
      <c r="C627" s="97" t="s">
        <v>2759</v>
      </c>
      <c r="D627" s="97" t="s">
        <v>1378</v>
      </c>
      <c r="E627" s="540" t="s">
        <v>4360</v>
      </c>
      <c r="F627" s="540" t="s">
        <v>5324</v>
      </c>
      <c r="G627" s="555" t="s">
        <v>1443</v>
      </c>
      <c r="H627" s="555" t="s">
        <v>3753</v>
      </c>
      <c r="I627" s="556" t="s">
        <v>4047</v>
      </c>
      <c r="J627" s="557" t="s">
        <v>1063</v>
      </c>
      <c r="K627" s="558" t="s">
        <v>2886</v>
      </c>
      <c r="L627" s="95"/>
      <c r="M627" s="104"/>
      <c r="N627" s="137">
        <v>49979.91</v>
      </c>
      <c r="O627" s="138">
        <v>45000</v>
      </c>
      <c r="P627" s="138">
        <v>63000</v>
      </c>
      <c r="Q627" s="138">
        <v>63000</v>
      </c>
      <c r="R627" s="138">
        <v>63000</v>
      </c>
      <c r="S627" s="139">
        <v>63000</v>
      </c>
      <c r="T627" s="322">
        <f t="shared" si="117"/>
        <v>13020.089999999997</v>
      </c>
      <c r="U627" s="140">
        <f t="shared" si="118"/>
        <v>0.26050647150024869</v>
      </c>
      <c r="V627" s="322">
        <f t="shared" si="114"/>
        <v>18000</v>
      </c>
      <c r="W627" s="140">
        <f t="shared" si="119"/>
        <v>0.4</v>
      </c>
      <c r="X627" s="322">
        <f t="shared" si="120"/>
        <v>0</v>
      </c>
      <c r="Y627" s="140">
        <f t="shared" si="121"/>
        <v>0</v>
      </c>
      <c r="Z627" s="519">
        <v>46854.42</v>
      </c>
      <c r="AA627" s="111">
        <f t="shared" si="115"/>
        <v>62472.56</v>
      </c>
      <c r="AB627" s="111">
        <f t="shared" si="116"/>
        <v>527.44000000000233</v>
      </c>
    </row>
    <row r="628" spans="1:28" ht="18" customHeight="1">
      <c r="A628" s="114" t="s">
        <v>2358</v>
      </c>
      <c r="B628" s="125" t="s">
        <v>2346</v>
      </c>
      <c r="C628" s="97" t="s">
        <v>2759</v>
      </c>
      <c r="D628" s="97" t="s">
        <v>1379</v>
      </c>
      <c r="E628" s="540" t="s">
        <v>5566</v>
      </c>
      <c r="F628" s="540" t="s">
        <v>3524</v>
      </c>
      <c r="G628" s="555" t="s">
        <v>1165</v>
      </c>
      <c r="H628" s="555" t="s">
        <v>3238</v>
      </c>
      <c r="I628" s="556" t="s">
        <v>4215</v>
      </c>
      <c r="J628" s="557" t="s">
        <v>2888</v>
      </c>
      <c r="K628" s="558" t="s">
        <v>2889</v>
      </c>
      <c r="L628" s="95"/>
      <c r="M628" s="104"/>
      <c r="N628" s="137">
        <v>187359.38</v>
      </c>
      <c r="O628" s="138">
        <v>180000</v>
      </c>
      <c r="P628" s="138">
        <v>187000</v>
      </c>
      <c r="Q628" s="138">
        <v>187000</v>
      </c>
      <c r="R628" s="138">
        <v>187000</v>
      </c>
      <c r="S628" s="139">
        <v>187000</v>
      </c>
      <c r="T628" s="322">
        <f t="shared" si="117"/>
        <v>-359.38000000000466</v>
      </c>
      <c r="U628" s="140">
        <f t="shared" si="118"/>
        <v>-1.9181318810939951E-3</v>
      </c>
      <c r="V628" s="322">
        <f t="shared" si="114"/>
        <v>7000</v>
      </c>
      <c r="W628" s="140">
        <f t="shared" si="119"/>
        <v>3.888888888888889E-2</v>
      </c>
      <c r="X628" s="322">
        <f t="shared" si="120"/>
        <v>0</v>
      </c>
      <c r="Y628" s="140">
        <f t="shared" si="121"/>
        <v>0</v>
      </c>
      <c r="Z628" s="519">
        <v>135144.07</v>
      </c>
      <c r="AA628" s="111">
        <f t="shared" si="115"/>
        <v>180192.09333333335</v>
      </c>
      <c r="AB628" s="111">
        <f t="shared" si="116"/>
        <v>6807.9066666666477</v>
      </c>
    </row>
    <row r="629" spans="1:28" ht="28.5" customHeight="1">
      <c r="A629" s="114" t="s">
        <v>2359</v>
      </c>
      <c r="B629" s="125" t="s">
        <v>2346</v>
      </c>
      <c r="C629" s="97" t="s">
        <v>2759</v>
      </c>
      <c r="D629" s="97" t="s">
        <v>3193</v>
      </c>
      <c r="E629" s="540" t="s">
        <v>5567</v>
      </c>
      <c r="F629" s="540" t="s">
        <v>5325</v>
      </c>
      <c r="G629" s="511" t="s">
        <v>580</v>
      </c>
      <c r="H629" s="511" t="s">
        <v>3525</v>
      </c>
      <c r="I629" s="544" t="s">
        <v>3526</v>
      </c>
      <c r="J629" s="557" t="s">
        <v>1008</v>
      </c>
      <c r="K629" s="558" t="s">
        <v>2884</v>
      </c>
      <c r="L629" s="95"/>
      <c r="M629" s="104"/>
      <c r="N629" s="137">
        <v>80945.010000000009</v>
      </c>
      <c r="O629" s="138">
        <v>76000</v>
      </c>
      <c r="P629" s="138">
        <v>76000</v>
      </c>
      <c r="Q629" s="138">
        <v>76000</v>
      </c>
      <c r="R629" s="138">
        <v>76000</v>
      </c>
      <c r="S629" s="139">
        <v>76000</v>
      </c>
      <c r="T629" s="322">
        <f t="shared" si="117"/>
        <v>-4945.0100000000093</v>
      </c>
      <c r="U629" s="140">
        <f t="shared" si="118"/>
        <v>-6.1090980160481895E-2</v>
      </c>
      <c r="V629" s="322">
        <f t="shared" si="114"/>
        <v>0</v>
      </c>
      <c r="W629" s="140">
        <f t="shared" si="119"/>
        <v>0</v>
      </c>
      <c r="X629" s="322">
        <f t="shared" si="120"/>
        <v>0</v>
      </c>
      <c r="Y629" s="140">
        <f t="shared" si="121"/>
        <v>0</v>
      </c>
      <c r="Z629" s="519">
        <v>57000</v>
      </c>
      <c r="AA629" s="111">
        <f t="shared" si="115"/>
        <v>76000</v>
      </c>
      <c r="AB629" s="111">
        <f t="shared" si="116"/>
        <v>0</v>
      </c>
    </row>
    <row r="630" spans="1:28" ht="28.5" customHeight="1">
      <c r="A630" s="117" t="s">
        <v>2360</v>
      </c>
      <c r="B630" s="127" t="s">
        <v>2346</v>
      </c>
      <c r="C630" s="99" t="s">
        <v>2361</v>
      </c>
      <c r="D630" s="99" t="s">
        <v>3185</v>
      </c>
      <c r="E630" s="534" t="s">
        <v>1648</v>
      </c>
      <c r="F630" s="534" t="s">
        <v>1647</v>
      </c>
      <c r="G630" s="511"/>
      <c r="H630" s="511"/>
      <c r="I630" s="544"/>
      <c r="J630" s="557"/>
      <c r="K630" s="558"/>
      <c r="L630" s="95"/>
      <c r="M630" s="104"/>
      <c r="N630" s="137">
        <v>0</v>
      </c>
      <c r="O630" s="138">
        <v>0</v>
      </c>
      <c r="P630" s="138">
        <v>0</v>
      </c>
      <c r="Q630" s="138">
        <v>0</v>
      </c>
      <c r="R630" s="138">
        <v>0</v>
      </c>
      <c r="S630" s="139">
        <v>0</v>
      </c>
      <c r="T630" s="322">
        <f t="shared" si="117"/>
        <v>0</v>
      </c>
      <c r="U630" s="140" t="str">
        <f t="shared" si="118"/>
        <v/>
      </c>
      <c r="V630" s="322">
        <f t="shared" si="114"/>
        <v>0</v>
      </c>
      <c r="W630" s="140" t="str">
        <f t="shared" si="119"/>
        <v/>
      </c>
      <c r="X630" s="322">
        <f t="shared" si="120"/>
        <v>0</v>
      </c>
      <c r="Y630" s="140" t="str">
        <f t="shared" si="121"/>
        <v/>
      </c>
      <c r="Z630" s="519">
        <v>0</v>
      </c>
      <c r="AA630" s="111">
        <f t="shared" si="115"/>
        <v>0</v>
      </c>
      <c r="AB630" s="111">
        <f t="shared" si="116"/>
        <v>0</v>
      </c>
    </row>
    <row r="631" spans="1:28" ht="28.5" customHeight="1">
      <c r="A631" s="116" t="s">
        <v>1649</v>
      </c>
      <c r="B631" s="126" t="s">
        <v>2346</v>
      </c>
      <c r="C631" s="98" t="s">
        <v>2361</v>
      </c>
      <c r="D631" s="98" t="s">
        <v>3183</v>
      </c>
      <c r="E631" s="540" t="s">
        <v>1650</v>
      </c>
      <c r="F631" s="540" t="s">
        <v>5326</v>
      </c>
      <c r="G631" s="511" t="s">
        <v>1316</v>
      </c>
      <c r="H631" s="511" t="s">
        <v>3527</v>
      </c>
      <c r="I631" s="544" t="s">
        <v>1651</v>
      </c>
      <c r="J631" s="557" t="s">
        <v>3607</v>
      </c>
      <c r="K631" s="543" t="s">
        <v>2868</v>
      </c>
      <c r="L631" s="95"/>
      <c r="M631" s="104"/>
      <c r="N631" s="137">
        <v>0</v>
      </c>
      <c r="O631" s="138">
        <v>0</v>
      </c>
      <c r="P631" s="138">
        <v>0</v>
      </c>
      <c r="Q631" s="138">
        <v>0</v>
      </c>
      <c r="R631" s="138">
        <v>0</v>
      </c>
      <c r="S631" s="139">
        <v>0</v>
      </c>
      <c r="T631" s="322">
        <f t="shared" si="117"/>
        <v>0</v>
      </c>
      <c r="U631" s="140" t="str">
        <f t="shared" si="118"/>
        <v/>
      </c>
      <c r="V631" s="322">
        <f t="shared" si="114"/>
        <v>0</v>
      </c>
      <c r="W631" s="140" t="str">
        <f t="shared" si="119"/>
        <v/>
      </c>
      <c r="X631" s="322">
        <f t="shared" si="120"/>
        <v>0</v>
      </c>
      <c r="Y631" s="140" t="str">
        <f t="shared" si="121"/>
        <v/>
      </c>
      <c r="Z631" s="519">
        <v>0</v>
      </c>
      <c r="AA631" s="111">
        <f t="shared" si="115"/>
        <v>0</v>
      </c>
      <c r="AB631" s="111">
        <f t="shared" si="116"/>
        <v>0</v>
      </c>
    </row>
    <row r="632" spans="1:28" ht="28.5" customHeight="1">
      <c r="A632" s="114" t="s">
        <v>1652</v>
      </c>
      <c r="B632" s="125" t="s">
        <v>2346</v>
      </c>
      <c r="C632" s="97" t="s">
        <v>2361</v>
      </c>
      <c r="D632" s="97" t="s">
        <v>2138</v>
      </c>
      <c r="E632" s="559" t="s">
        <v>1653</v>
      </c>
      <c r="F632" s="540" t="s">
        <v>5327</v>
      </c>
      <c r="G632" s="555" t="s">
        <v>1316</v>
      </c>
      <c r="H632" s="555" t="s">
        <v>3527</v>
      </c>
      <c r="I632" s="556" t="s">
        <v>1651</v>
      </c>
      <c r="J632" s="557" t="s">
        <v>3607</v>
      </c>
      <c r="K632" s="543" t="s">
        <v>2868</v>
      </c>
      <c r="L632" s="95"/>
      <c r="M632" s="104"/>
      <c r="N632" s="137">
        <v>110.17</v>
      </c>
      <c r="O632" s="138">
        <v>0</v>
      </c>
      <c r="P632" s="138">
        <v>0</v>
      </c>
      <c r="Q632" s="138">
        <v>0</v>
      </c>
      <c r="R632" s="138">
        <v>0</v>
      </c>
      <c r="S632" s="139">
        <v>0</v>
      </c>
      <c r="T632" s="322">
        <f t="shared" si="117"/>
        <v>-110.17</v>
      </c>
      <c r="U632" s="140">
        <f t="shared" si="118"/>
        <v>-1</v>
      </c>
      <c r="V632" s="322">
        <f t="shared" si="114"/>
        <v>0</v>
      </c>
      <c r="W632" s="140" t="str">
        <f t="shared" si="119"/>
        <v/>
      </c>
      <c r="X632" s="322">
        <f t="shared" si="120"/>
        <v>0</v>
      </c>
      <c r="Y632" s="140" t="str">
        <f t="shared" si="121"/>
        <v/>
      </c>
      <c r="Z632" s="519">
        <v>0</v>
      </c>
      <c r="AA632" s="111">
        <f t="shared" si="115"/>
        <v>0</v>
      </c>
      <c r="AB632" s="111">
        <f t="shared" si="116"/>
        <v>0</v>
      </c>
    </row>
    <row r="633" spans="1:28" ht="28.5" customHeight="1">
      <c r="A633" s="114" t="s">
        <v>1654</v>
      </c>
      <c r="B633" s="125" t="s">
        <v>2346</v>
      </c>
      <c r="C633" s="97" t="s">
        <v>2361</v>
      </c>
      <c r="D633" s="97" t="s">
        <v>3193</v>
      </c>
      <c r="E633" s="559" t="s">
        <v>1655</v>
      </c>
      <c r="F633" s="540" t="s">
        <v>5328</v>
      </c>
      <c r="G633" s="555" t="s">
        <v>921</v>
      </c>
      <c r="H633" s="555" t="s">
        <v>3528</v>
      </c>
      <c r="I633" s="556" t="s">
        <v>1656</v>
      </c>
      <c r="J633" s="557" t="s">
        <v>2878</v>
      </c>
      <c r="K633" s="558" t="s">
        <v>3446</v>
      </c>
      <c r="L633" s="95"/>
      <c r="M633" s="104"/>
      <c r="N633" s="137">
        <v>42695.9</v>
      </c>
      <c r="O633" s="138">
        <v>40000</v>
      </c>
      <c r="P633" s="138">
        <v>40000</v>
      </c>
      <c r="Q633" s="138">
        <v>40000</v>
      </c>
      <c r="R633" s="138">
        <v>40000</v>
      </c>
      <c r="S633" s="139">
        <v>40000</v>
      </c>
      <c r="T633" s="322">
        <f t="shared" si="117"/>
        <v>-2695.9000000000015</v>
      </c>
      <c r="U633" s="140">
        <f t="shared" si="118"/>
        <v>-6.314189418656127E-2</v>
      </c>
      <c r="V633" s="322">
        <f t="shared" si="114"/>
        <v>0</v>
      </c>
      <c r="W633" s="140">
        <f t="shared" si="119"/>
        <v>0</v>
      </c>
      <c r="X633" s="322">
        <f t="shared" si="120"/>
        <v>0</v>
      </c>
      <c r="Y633" s="140">
        <f t="shared" si="121"/>
        <v>0</v>
      </c>
      <c r="Z633" s="519">
        <v>30084.21</v>
      </c>
      <c r="AA633" s="111">
        <f t="shared" si="115"/>
        <v>40112.28</v>
      </c>
      <c r="AB633" s="111">
        <f t="shared" si="116"/>
        <v>-112.27999999999884</v>
      </c>
    </row>
    <row r="634" spans="1:28" ht="28.5" customHeight="1">
      <c r="A634" s="121" t="s">
        <v>1657</v>
      </c>
      <c r="B634" s="128" t="s">
        <v>2346</v>
      </c>
      <c r="C634" s="106" t="s">
        <v>2361</v>
      </c>
      <c r="D634" s="106" t="s">
        <v>1401</v>
      </c>
      <c r="E634" s="559" t="s">
        <v>1658</v>
      </c>
      <c r="F634" s="540" t="s">
        <v>5329</v>
      </c>
      <c r="G634" s="555" t="s">
        <v>921</v>
      </c>
      <c r="H634" s="555" t="s">
        <v>3528</v>
      </c>
      <c r="I634" s="556" t="s">
        <v>1656</v>
      </c>
      <c r="J634" s="557" t="s">
        <v>2878</v>
      </c>
      <c r="K634" s="558" t="s">
        <v>3446</v>
      </c>
      <c r="L634" s="95"/>
      <c r="M634" s="104"/>
      <c r="N634" s="137">
        <v>10383.15</v>
      </c>
      <c r="O634" s="138">
        <v>12000</v>
      </c>
      <c r="P634" s="138">
        <v>10000</v>
      </c>
      <c r="Q634" s="138">
        <v>10000</v>
      </c>
      <c r="R634" s="138">
        <v>10000</v>
      </c>
      <c r="S634" s="139">
        <v>10000</v>
      </c>
      <c r="T634" s="322">
        <f t="shared" si="117"/>
        <v>-383.14999999999964</v>
      </c>
      <c r="U634" s="140">
        <f t="shared" si="118"/>
        <v>-3.6901133085816891E-2</v>
      </c>
      <c r="V634" s="322">
        <f t="shared" si="114"/>
        <v>-2000</v>
      </c>
      <c r="W634" s="140">
        <f t="shared" si="119"/>
        <v>-0.16666666666666666</v>
      </c>
      <c r="X634" s="322">
        <f t="shared" si="120"/>
        <v>0</v>
      </c>
      <c r="Y634" s="140">
        <f t="shared" si="121"/>
        <v>0</v>
      </c>
      <c r="Z634" s="519">
        <v>7573.05</v>
      </c>
      <c r="AA634" s="111">
        <f t="shared" si="115"/>
        <v>10097.4</v>
      </c>
      <c r="AB634" s="111">
        <f t="shared" si="116"/>
        <v>-97.399999999999636</v>
      </c>
    </row>
    <row r="635" spans="1:28" ht="28.5" customHeight="1">
      <c r="A635" s="122" t="s">
        <v>1659</v>
      </c>
      <c r="B635" s="129" t="s">
        <v>2346</v>
      </c>
      <c r="C635" s="107" t="s">
        <v>2866</v>
      </c>
      <c r="D635" s="107" t="s">
        <v>3185</v>
      </c>
      <c r="E635" s="554" t="s">
        <v>1210</v>
      </c>
      <c r="F635" s="554" t="s">
        <v>1660</v>
      </c>
      <c r="G635" s="555"/>
      <c r="H635" s="555"/>
      <c r="I635" s="556"/>
      <c r="J635" s="557"/>
      <c r="K635" s="558"/>
      <c r="L635" s="95"/>
      <c r="M635" s="104"/>
      <c r="N635" s="137">
        <v>0</v>
      </c>
      <c r="O635" s="138">
        <v>0</v>
      </c>
      <c r="P635" s="138">
        <v>0</v>
      </c>
      <c r="Q635" s="138">
        <v>0</v>
      </c>
      <c r="R635" s="138">
        <v>0</v>
      </c>
      <c r="S635" s="139">
        <v>0</v>
      </c>
      <c r="T635" s="322">
        <f t="shared" si="117"/>
        <v>0</v>
      </c>
      <c r="U635" s="140" t="str">
        <f t="shared" si="118"/>
        <v/>
      </c>
      <c r="V635" s="322">
        <f t="shared" si="114"/>
        <v>0</v>
      </c>
      <c r="W635" s="140" t="str">
        <f t="shared" si="119"/>
        <v/>
      </c>
      <c r="X635" s="322">
        <f t="shared" si="120"/>
        <v>0</v>
      </c>
      <c r="Y635" s="140" t="str">
        <f t="shared" si="121"/>
        <v/>
      </c>
      <c r="Z635" s="519">
        <v>0</v>
      </c>
      <c r="AA635" s="111">
        <f t="shared" si="115"/>
        <v>0</v>
      </c>
      <c r="AB635" s="111">
        <f t="shared" si="116"/>
        <v>0</v>
      </c>
    </row>
    <row r="636" spans="1:28" ht="18.75" customHeight="1">
      <c r="A636" s="121" t="s">
        <v>1211</v>
      </c>
      <c r="B636" s="128" t="s">
        <v>2346</v>
      </c>
      <c r="C636" s="106" t="s">
        <v>2866</v>
      </c>
      <c r="D636" s="106" t="s">
        <v>3183</v>
      </c>
      <c r="E636" s="559" t="s">
        <v>1210</v>
      </c>
      <c r="F636" s="559" t="s">
        <v>1660</v>
      </c>
      <c r="G636" s="555" t="s">
        <v>927</v>
      </c>
      <c r="H636" s="555" t="s">
        <v>3529</v>
      </c>
      <c r="I636" s="556" t="s">
        <v>3530</v>
      </c>
      <c r="J636" s="557" t="s">
        <v>2878</v>
      </c>
      <c r="K636" s="558" t="s">
        <v>3446</v>
      </c>
      <c r="L636" s="95"/>
      <c r="M636" s="104"/>
      <c r="N636" s="137">
        <v>32928</v>
      </c>
      <c r="O636" s="138">
        <v>36000</v>
      </c>
      <c r="P636" s="138">
        <v>31000</v>
      </c>
      <c r="Q636" s="138">
        <v>31000</v>
      </c>
      <c r="R636" s="138">
        <v>31000</v>
      </c>
      <c r="S636" s="139">
        <v>31000</v>
      </c>
      <c r="T636" s="322">
        <f t="shared" si="117"/>
        <v>-1928</v>
      </c>
      <c r="U636" s="140">
        <f t="shared" si="118"/>
        <v>-5.8551992225461612E-2</v>
      </c>
      <c r="V636" s="322">
        <f t="shared" si="114"/>
        <v>-5000</v>
      </c>
      <c r="W636" s="140">
        <f t="shared" si="119"/>
        <v>-0.1388888888888889</v>
      </c>
      <c r="X636" s="322">
        <f t="shared" si="120"/>
        <v>0</v>
      </c>
      <c r="Y636" s="140">
        <f t="shared" si="121"/>
        <v>0</v>
      </c>
      <c r="Z636" s="519">
        <v>24218.799999999999</v>
      </c>
      <c r="AA636" s="111">
        <f t="shared" si="115"/>
        <v>32291.733333333334</v>
      </c>
      <c r="AB636" s="111">
        <f t="shared" si="116"/>
        <v>-1291.7333333333336</v>
      </c>
    </row>
    <row r="637" spans="1:28" ht="36" customHeight="1">
      <c r="A637" s="122" t="s">
        <v>1212</v>
      </c>
      <c r="B637" s="129" t="s">
        <v>2346</v>
      </c>
      <c r="C637" s="107" t="s">
        <v>3189</v>
      </c>
      <c r="D637" s="107" t="s">
        <v>3185</v>
      </c>
      <c r="E637" s="554" t="s">
        <v>1213</v>
      </c>
      <c r="F637" s="534" t="s">
        <v>1215</v>
      </c>
      <c r="G637" s="555"/>
      <c r="H637" s="555"/>
      <c r="I637" s="556"/>
      <c r="J637" s="557"/>
      <c r="K637" s="558"/>
      <c r="L637" s="95"/>
      <c r="M637" s="104"/>
      <c r="N637" s="137">
        <v>0</v>
      </c>
      <c r="O637" s="138">
        <v>0</v>
      </c>
      <c r="P637" s="138">
        <v>0</v>
      </c>
      <c r="Q637" s="138">
        <v>0</v>
      </c>
      <c r="R637" s="138">
        <v>0</v>
      </c>
      <c r="S637" s="139">
        <v>0</v>
      </c>
      <c r="T637" s="322">
        <f t="shared" si="117"/>
        <v>0</v>
      </c>
      <c r="U637" s="140" t="str">
        <f t="shared" si="118"/>
        <v/>
      </c>
      <c r="V637" s="322">
        <f t="shared" si="114"/>
        <v>0</v>
      </c>
      <c r="W637" s="140" t="str">
        <f t="shared" si="119"/>
        <v/>
      </c>
      <c r="X637" s="322">
        <f t="shared" si="120"/>
        <v>0</v>
      </c>
      <c r="Y637" s="140" t="str">
        <f t="shared" si="121"/>
        <v/>
      </c>
      <c r="Z637" s="519">
        <v>0</v>
      </c>
      <c r="AA637" s="111">
        <f t="shared" si="115"/>
        <v>0</v>
      </c>
      <c r="AB637" s="111">
        <f t="shared" si="116"/>
        <v>0</v>
      </c>
    </row>
    <row r="638" spans="1:28" ht="26.25" customHeight="1">
      <c r="A638" s="121" t="s">
        <v>1214</v>
      </c>
      <c r="B638" s="128" t="s">
        <v>2346</v>
      </c>
      <c r="C638" s="106" t="s">
        <v>3189</v>
      </c>
      <c r="D638" s="106" t="s">
        <v>3183</v>
      </c>
      <c r="E638" s="559" t="s">
        <v>1213</v>
      </c>
      <c r="F638" s="540" t="s">
        <v>1215</v>
      </c>
      <c r="G638" s="555" t="s">
        <v>1321</v>
      </c>
      <c r="H638" s="555" t="s">
        <v>3531</v>
      </c>
      <c r="I638" s="556" t="s">
        <v>3532</v>
      </c>
      <c r="J638" s="557" t="s">
        <v>3607</v>
      </c>
      <c r="K638" s="543" t="s">
        <v>2868</v>
      </c>
      <c r="L638" s="95"/>
      <c r="M638" s="104"/>
      <c r="N638" s="137">
        <v>525856.76</v>
      </c>
      <c r="O638" s="138">
        <v>725000</v>
      </c>
      <c r="P638" s="138">
        <v>410000</v>
      </c>
      <c r="Q638" s="138">
        <v>410000</v>
      </c>
      <c r="R638" s="138">
        <v>410000</v>
      </c>
      <c r="S638" s="139">
        <v>410000</v>
      </c>
      <c r="T638" s="322">
        <f t="shared" si="117"/>
        <v>-115856.76000000001</v>
      </c>
      <c r="U638" s="140">
        <f t="shared" si="118"/>
        <v>-0.22031999740765909</v>
      </c>
      <c r="V638" s="322">
        <f t="shared" si="114"/>
        <v>-315000</v>
      </c>
      <c r="W638" s="140">
        <f t="shared" si="119"/>
        <v>-0.43448275862068964</v>
      </c>
      <c r="X638" s="322">
        <f t="shared" si="120"/>
        <v>0</v>
      </c>
      <c r="Y638" s="140">
        <f t="shared" si="121"/>
        <v>0</v>
      </c>
      <c r="Z638" s="519">
        <v>319492.53999999998</v>
      </c>
      <c r="AA638" s="111">
        <f t="shared" si="115"/>
        <v>425990.05333333329</v>
      </c>
      <c r="AB638" s="111">
        <f t="shared" si="116"/>
        <v>-15990.053333333286</v>
      </c>
    </row>
    <row r="639" spans="1:28" ht="36" customHeight="1">
      <c r="A639" s="122" t="s">
        <v>1216</v>
      </c>
      <c r="B639" s="129" t="s">
        <v>2346</v>
      </c>
      <c r="C639" s="107" t="s">
        <v>3190</v>
      </c>
      <c r="D639" s="107" t="s">
        <v>3185</v>
      </c>
      <c r="E639" s="554" t="s">
        <v>1218</v>
      </c>
      <c r="F639" s="534" t="s">
        <v>1217</v>
      </c>
      <c r="G639" s="555"/>
      <c r="H639" s="555"/>
      <c r="I639" s="556"/>
      <c r="J639" s="557"/>
      <c r="K639" s="558"/>
      <c r="L639" s="95"/>
      <c r="M639" s="104"/>
      <c r="N639" s="137">
        <v>0</v>
      </c>
      <c r="O639" s="138">
        <v>0</v>
      </c>
      <c r="P639" s="138">
        <v>0</v>
      </c>
      <c r="Q639" s="138">
        <v>0</v>
      </c>
      <c r="R639" s="138">
        <v>0</v>
      </c>
      <c r="S639" s="139">
        <v>0</v>
      </c>
      <c r="T639" s="322">
        <f t="shared" si="117"/>
        <v>0</v>
      </c>
      <c r="U639" s="140" t="str">
        <f t="shared" si="118"/>
        <v/>
      </c>
      <c r="V639" s="322">
        <f t="shared" si="114"/>
        <v>0</v>
      </c>
      <c r="W639" s="140" t="str">
        <f t="shared" si="119"/>
        <v/>
      </c>
      <c r="X639" s="322">
        <f t="shared" si="120"/>
        <v>0</v>
      </c>
      <c r="Y639" s="140" t="str">
        <f t="shared" si="121"/>
        <v/>
      </c>
      <c r="Z639" s="519">
        <v>0</v>
      </c>
      <c r="AA639" s="111">
        <f t="shared" si="115"/>
        <v>0</v>
      </c>
      <c r="AB639" s="111">
        <f t="shared" si="116"/>
        <v>0</v>
      </c>
    </row>
    <row r="640" spans="1:28" ht="26.25" customHeight="1">
      <c r="A640" s="121" t="s">
        <v>1219</v>
      </c>
      <c r="B640" s="128" t="s">
        <v>2346</v>
      </c>
      <c r="C640" s="106" t="s">
        <v>3190</v>
      </c>
      <c r="D640" s="106" t="s">
        <v>3183</v>
      </c>
      <c r="E640" s="559" t="s">
        <v>1218</v>
      </c>
      <c r="F640" s="540" t="s">
        <v>1217</v>
      </c>
      <c r="G640" s="555" t="s">
        <v>32</v>
      </c>
      <c r="H640" s="555" t="s">
        <v>3533</v>
      </c>
      <c r="I640" s="556" t="s">
        <v>1220</v>
      </c>
      <c r="J640" s="557" t="s">
        <v>2880</v>
      </c>
      <c r="K640" s="558" t="s">
        <v>2881</v>
      </c>
      <c r="L640" s="95"/>
      <c r="M640" s="104"/>
      <c r="N640" s="137">
        <v>2616831.62</v>
      </c>
      <c r="O640" s="138">
        <v>2504000</v>
      </c>
      <c r="P640" s="138">
        <v>2616000</v>
      </c>
      <c r="Q640" s="138">
        <v>2616000</v>
      </c>
      <c r="R640" s="138">
        <v>2616000</v>
      </c>
      <c r="S640" s="139">
        <v>2616000</v>
      </c>
      <c r="T640" s="322">
        <f t="shared" si="117"/>
        <v>-831.62000000011176</v>
      </c>
      <c r="U640" s="140">
        <f t="shared" si="118"/>
        <v>-3.1779652677848327E-4</v>
      </c>
      <c r="V640" s="322">
        <f t="shared" si="114"/>
        <v>112000</v>
      </c>
      <c r="W640" s="140">
        <f t="shared" si="119"/>
        <v>4.472843450479233E-2</v>
      </c>
      <c r="X640" s="322">
        <f t="shared" si="120"/>
        <v>0</v>
      </c>
      <c r="Y640" s="140">
        <f t="shared" si="121"/>
        <v>0</v>
      </c>
      <c r="Z640" s="519">
        <v>1961948.09</v>
      </c>
      <c r="AA640" s="111">
        <f t="shared" si="115"/>
        <v>2615930.7866666666</v>
      </c>
      <c r="AB640" s="111">
        <f t="shared" si="116"/>
        <v>69.213333333376795</v>
      </c>
    </row>
    <row r="641" spans="1:28" ht="18" customHeight="1">
      <c r="A641" s="122" t="s">
        <v>1221</v>
      </c>
      <c r="B641" s="129" t="s">
        <v>2346</v>
      </c>
      <c r="C641" s="107" t="s">
        <v>1263</v>
      </c>
      <c r="D641" s="107" t="s">
        <v>3185</v>
      </c>
      <c r="E641" s="554" t="s">
        <v>5568</v>
      </c>
      <c r="F641" s="534" t="s">
        <v>1222</v>
      </c>
      <c r="G641" s="555"/>
      <c r="H641" s="555"/>
      <c r="I641" s="556"/>
      <c r="J641" s="557"/>
      <c r="K641" s="558"/>
      <c r="L641" s="95"/>
      <c r="M641" s="104"/>
      <c r="N641" s="137">
        <v>0</v>
      </c>
      <c r="O641" s="138">
        <v>0</v>
      </c>
      <c r="P641" s="138">
        <v>0</v>
      </c>
      <c r="Q641" s="138">
        <v>0</v>
      </c>
      <c r="R641" s="138">
        <v>0</v>
      </c>
      <c r="S641" s="139">
        <v>0</v>
      </c>
      <c r="T641" s="322">
        <f t="shared" si="117"/>
        <v>0</v>
      </c>
      <c r="U641" s="140" t="str">
        <f t="shared" si="118"/>
        <v/>
      </c>
      <c r="V641" s="322">
        <f t="shared" si="114"/>
        <v>0</v>
      </c>
      <c r="W641" s="140" t="str">
        <f t="shared" si="119"/>
        <v/>
      </c>
      <c r="X641" s="322">
        <f t="shared" si="120"/>
        <v>0</v>
      </c>
      <c r="Y641" s="140" t="str">
        <f t="shared" si="121"/>
        <v/>
      </c>
      <c r="Z641" s="519">
        <v>0</v>
      </c>
      <c r="AA641" s="111">
        <f t="shared" si="115"/>
        <v>0</v>
      </c>
      <c r="AB641" s="111">
        <f t="shared" si="116"/>
        <v>0</v>
      </c>
    </row>
    <row r="642" spans="1:28" ht="18" customHeight="1">
      <c r="A642" s="121" t="s">
        <v>1223</v>
      </c>
      <c r="B642" s="128" t="s">
        <v>2346</v>
      </c>
      <c r="C642" s="106" t="s">
        <v>1263</v>
      </c>
      <c r="D642" s="106" t="s">
        <v>3183</v>
      </c>
      <c r="E642" s="559" t="s">
        <v>5568</v>
      </c>
      <c r="F642" s="540" t="s">
        <v>1222</v>
      </c>
      <c r="G642" s="555" t="s">
        <v>1321</v>
      </c>
      <c r="H642" s="555" t="s">
        <v>3531</v>
      </c>
      <c r="I642" s="556" t="s">
        <v>3532</v>
      </c>
      <c r="J642" s="557" t="s">
        <v>3607</v>
      </c>
      <c r="K642" s="543" t="s">
        <v>2868</v>
      </c>
      <c r="L642" s="95"/>
      <c r="M642" s="104"/>
      <c r="N642" s="137">
        <v>22614.86</v>
      </c>
      <c r="O642" s="138">
        <v>33000</v>
      </c>
      <c r="P642" s="138">
        <v>23000</v>
      </c>
      <c r="Q642" s="138">
        <v>23000</v>
      </c>
      <c r="R642" s="138">
        <v>23000</v>
      </c>
      <c r="S642" s="139">
        <v>23000</v>
      </c>
      <c r="T642" s="322">
        <f t="shared" si="117"/>
        <v>385.13999999999942</v>
      </c>
      <c r="U642" s="140">
        <f t="shared" si="118"/>
        <v>1.7030395058824126E-2</v>
      </c>
      <c r="V642" s="322">
        <f t="shared" si="114"/>
        <v>-10000</v>
      </c>
      <c r="W642" s="140">
        <f t="shared" si="119"/>
        <v>-0.30303030303030304</v>
      </c>
      <c r="X642" s="322">
        <f t="shared" si="120"/>
        <v>0</v>
      </c>
      <c r="Y642" s="140">
        <f t="shared" si="121"/>
        <v>0</v>
      </c>
      <c r="Z642" s="519">
        <v>17640.34</v>
      </c>
      <c r="AA642" s="111">
        <f t="shared" si="115"/>
        <v>23520.453333333335</v>
      </c>
      <c r="AB642" s="111">
        <f t="shared" si="116"/>
        <v>-520.45333333333474</v>
      </c>
    </row>
    <row r="643" spans="1:28" ht="25.5" customHeight="1">
      <c r="A643" s="122" t="s">
        <v>1224</v>
      </c>
      <c r="B643" s="129" t="s">
        <v>2346</v>
      </c>
      <c r="C643" s="107" t="s">
        <v>3191</v>
      </c>
      <c r="D643" s="107" t="s">
        <v>3185</v>
      </c>
      <c r="E643" s="554" t="s">
        <v>1226</v>
      </c>
      <c r="F643" s="534" t="s">
        <v>1225</v>
      </c>
      <c r="G643" s="555"/>
      <c r="H643" s="555"/>
      <c r="I643" s="556"/>
      <c r="J643" s="557"/>
      <c r="K643" s="558"/>
      <c r="L643" s="95"/>
      <c r="M643" s="104"/>
      <c r="N643" s="137">
        <v>0</v>
      </c>
      <c r="O643" s="138">
        <v>0</v>
      </c>
      <c r="P643" s="138">
        <v>0</v>
      </c>
      <c r="Q643" s="138">
        <v>0</v>
      </c>
      <c r="R643" s="138">
        <v>0</v>
      </c>
      <c r="S643" s="139">
        <v>0</v>
      </c>
      <c r="T643" s="322">
        <f t="shared" si="117"/>
        <v>0</v>
      </c>
      <c r="U643" s="140" t="str">
        <f t="shared" si="118"/>
        <v/>
      </c>
      <c r="V643" s="322">
        <f t="shared" si="114"/>
        <v>0</v>
      </c>
      <c r="W643" s="140" t="str">
        <f t="shared" si="119"/>
        <v/>
      </c>
      <c r="X643" s="322">
        <f t="shared" si="120"/>
        <v>0</v>
      </c>
      <c r="Y643" s="140" t="str">
        <f t="shared" si="121"/>
        <v/>
      </c>
      <c r="Z643" s="519">
        <v>0</v>
      </c>
      <c r="AA643" s="111">
        <f t="shared" si="115"/>
        <v>0</v>
      </c>
      <c r="AB643" s="111">
        <f t="shared" si="116"/>
        <v>0</v>
      </c>
    </row>
    <row r="644" spans="1:28" ht="26.25" customHeight="1">
      <c r="A644" s="121" t="s">
        <v>1227</v>
      </c>
      <c r="B644" s="128" t="s">
        <v>2346</v>
      </c>
      <c r="C644" s="106" t="s">
        <v>3191</v>
      </c>
      <c r="D644" s="106" t="s">
        <v>3183</v>
      </c>
      <c r="E644" s="559" t="s">
        <v>1226</v>
      </c>
      <c r="F644" s="540" t="s">
        <v>1225</v>
      </c>
      <c r="G644" s="555" t="s">
        <v>30</v>
      </c>
      <c r="H644" s="555" t="s">
        <v>3534</v>
      </c>
      <c r="I644" s="556" t="s">
        <v>1228</v>
      </c>
      <c r="J644" s="557" t="s">
        <v>2880</v>
      </c>
      <c r="K644" s="558" t="s">
        <v>2881</v>
      </c>
      <c r="L644" s="95"/>
      <c r="M644" s="104"/>
      <c r="N644" s="137">
        <v>317934.95</v>
      </c>
      <c r="O644" s="138">
        <v>288000</v>
      </c>
      <c r="P644" s="138">
        <v>318000</v>
      </c>
      <c r="Q644" s="138">
        <v>318000</v>
      </c>
      <c r="R644" s="138">
        <v>318000</v>
      </c>
      <c r="S644" s="139">
        <v>318000</v>
      </c>
      <c r="T644" s="322">
        <f t="shared" si="117"/>
        <v>65.049999999988358</v>
      </c>
      <c r="U644" s="140">
        <f t="shared" si="118"/>
        <v>2.0460160167980385E-4</v>
      </c>
      <c r="V644" s="322">
        <f t="shared" si="114"/>
        <v>30000</v>
      </c>
      <c r="W644" s="140">
        <f t="shared" si="119"/>
        <v>0.10416666666666667</v>
      </c>
      <c r="X644" s="322">
        <f t="shared" si="120"/>
        <v>0</v>
      </c>
      <c r="Y644" s="140">
        <f t="shared" si="121"/>
        <v>0</v>
      </c>
      <c r="Z644" s="519">
        <v>238250.88</v>
      </c>
      <c r="AA644" s="111">
        <f t="shared" si="115"/>
        <v>317667.84000000003</v>
      </c>
      <c r="AB644" s="111">
        <f t="shared" si="116"/>
        <v>332.15999999997439</v>
      </c>
    </row>
    <row r="645" spans="1:28" ht="18" customHeight="1">
      <c r="A645" s="122" t="s">
        <v>1229</v>
      </c>
      <c r="B645" s="129" t="s">
        <v>2346</v>
      </c>
      <c r="C645" s="107" t="s">
        <v>3281</v>
      </c>
      <c r="D645" s="107" t="s">
        <v>3185</v>
      </c>
      <c r="E645" s="554" t="s">
        <v>1231</v>
      </c>
      <c r="F645" s="534" t="s">
        <v>1230</v>
      </c>
      <c r="G645" s="555"/>
      <c r="H645" s="555"/>
      <c r="I645" s="556"/>
      <c r="J645" s="557"/>
      <c r="K645" s="558"/>
      <c r="L645" s="95"/>
      <c r="M645" s="104"/>
      <c r="N645" s="137">
        <v>0</v>
      </c>
      <c r="O645" s="138">
        <v>0</v>
      </c>
      <c r="P645" s="138">
        <v>0</v>
      </c>
      <c r="Q645" s="138">
        <v>0</v>
      </c>
      <c r="R645" s="138">
        <v>0</v>
      </c>
      <c r="S645" s="139">
        <v>0</v>
      </c>
      <c r="T645" s="322">
        <f t="shared" si="117"/>
        <v>0</v>
      </c>
      <c r="U645" s="140" t="str">
        <f t="shared" si="118"/>
        <v/>
      </c>
      <c r="V645" s="322">
        <f t="shared" si="114"/>
        <v>0</v>
      </c>
      <c r="W645" s="140" t="str">
        <f t="shared" si="119"/>
        <v/>
      </c>
      <c r="X645" s="322">
        <f t="shared" si="120"/>
        <v>0</v>
      </c>
      <c r="Y645" s="140" t="str">
        <f t="shared" si="121"/>
        <v/>
      </c>
      <c r="Z645" s="519">
        <v>0</v>
      </c>
      <c r="AA645" s="111">
        <f t="shared" si="115"/>
        <v>0</v>
      </c>
      <c r="AB645" s="111">
        <f t="shared" si="116"/>
        <v>0</v>
      </c>
    </row>
    <row r="646" spans="1:28" ht="18" customHeight="1">
      <c r="A646" s="121" t="s">
        <v>1232</v>
      </c>
      <c r="B646" s="128" t="s">
        <v>2346</v>
      </c>
      <c r="C646" s="106" t="s">
        <v>3281</v>
      </c>
      <c r="D646" s="106" t="s">
        <v>3183</v>
      </c>
      <c r="E646" s="559" t="s">
        <v>1231</v>
      </c>
      <c r="F646" s="540" t="s">
        <v>1230</v>
      </c>
      <c r="G646" s="555" t="s">
        <v>32</v>
      </c>
      <c r="H646" s="555" t="s">
        <v>3533</v>
      </c>
      <c r="I646" s="556" t="s">
        <v>1220</v>
      </c>
      <c r="J646" s="557" t="s">
        <v>2880</v>
      </c>
      <c r="K646" s="558" t="s">
        <v>2881</v>
      </c>
      <c r="L646" s="95"/>
      <c r="M646" s="104"/>
      <c r="N646" s="137">
        <v>404705.34</v>
      </c>
      <c r="O646" s="138">
        <v>390800</v>
      </c>
      <c r="P646" s="138">
        <v>405000</v>
      </c>
      <c r="Q646" s="138">
        <v>405000</v>
      </c>
      <c r="R646" s="138">
        <v>405000</v>
      </c>
      <c r="S646" s="139">
        <v>405000</v>
      </c>
      <c r="T646" s="322">
        <f t="shared" si="117"/>
        <v>294.65999999997439</v>
      </c>
      <c r="U646" s="140">
        <f t="shared" si="118"/>
        <v>7.2808527804445167E-4</v>
      </c>
      <c r="V646" s="322">
        <f t="shared" si="114"/>
        <v>14200</v>
      </c>
      <c r="W646" s="140">
        <f t="shared" si="119"/>
        <v>3.6335721596724664E-2</v>
      </c>
      <c r="X646" s="322">
        <f t="shared" si="120"/>
        <v>0</v>
      </c>
      <c r="Y646" s="140">
        <f t="shared" si="121"/>
        <v>0</v>
      </c>
      <c r="Z646" s="519">
        <v>303990.12</v>
      </c>
      <c r="AA646" s="111">
        <f t="shared" si="115"/>
        <v>405320.16</v>
      </c>
      <c r="AB646" s="111">
        <f t="shared" si="116"/>
        <v>-320.15999999997439</v>
      </c>
    </row>
    <row r="647" spans="1:28" ht="26.25" customHeight="1">
      <c r="A647" s="122" t="s">
        <v>1233</v>
      </c>
      <c r="B647" s="129" t="s">
        <v>2346</v>
      </c>
      <c r="C647" s="107" t="s">
        <v>3194</v>
      </c>
      <c r="D647" s="107" t="s">
        <v>3185</v>
      </c>
      <c r="E647" s="554" t="s">
        <v>1235</v>
      </c>
      <c r="F647" s="554" t="s">
        <v>1234</v>
      </c>
      <c r="G647" s="555"/>
      <c r="H647" s="555"/>
      <c r="I647" s="556"/>
      <c r="J647" s="557"/>
      <c r="K647" s="558"/>
      <c r="L647" s="95"/>
      <c r="M647" s="104"/>
      <c r="N647" s="137">
        <v>0</v>
      </c>
      <c r="O647" s="138">
        <v>0</v>
      </c>
      <c r="P647" s="138">
        <v>0</v>
      </c>
      <c r="Q647" s="138">
        <v>0</v>
      </c>
      <c r="R647" s="138">
        <v>0</v>
      </c>
      <c r="S647" s="139">
        <v>0</v>
      </c>
      <c r="T647" s="322">
        <f t="shared" si="117"/>
        <v>0</v>
      </c>
      <c r="U647" s="140" t="str">
        <f t="shared" si="118"/>
        <v/>
      </c>
      <c r="V647" s="322">
        <f t="shared" si="114"/>
        <v>0</v>
      </c>
      <c r="W647" s="140" t="str">
        <f t="shared" si="119"/>
        <v/>
      </c>
      <c r="X647" s="322">
        <f t="shared" si="120"/>
        <v>0</v>
      </c>
      <c r="Y647" s="140" t="str">
        <f t="shared" si="121"/>
        <v/>
      </c>
      <c r="Z647" s="519">
        <v>0</v>
      </c>
      <c r="AA647" s="111">
        <f t="shared" si="115"/>
        <v>0</v>
      </c>
      <c r="AB647" s="111">
        <f t="shared" si="116"/>
        <v>0</v>
      </c>
    </row>
    <row r="648" spans="1:28" ht="26.25" customHeight="1">
      <c r="A648" s="121" t="s">
        <v>1236</v>
      </c>
      <c r="B648" s="128" t="s">
        <v>2346</v>
      </c>
      <c r="C648" s="106" t="s">
        <v>3194</v>
      </c>
      <c r="D648" s="106" t="s">
        <v>3183</v>
      </c>
      <c r="E648" s="559" t="s">
        <v>1235</v>
      </c>
      <c r="F648" s="540" t="s">
        <v>1234</v>
      </c>
      <c r="G648" s="555" t="s">
        <v>575</v>
      </c>
      <c r="H648" s="555" t="s">
        <v>3743</v>
      </c>
      <c r="I648" s="556" t="s">
        <v>4026</v>
      </c>
      <c r="J648" s="557" t="s">
        <v>1008</v>
      </c>
      <c r="K648" s="558" t="s">
        <v>2884</v>
      </c>
      <c r="L648" s="95"/>
      <c r="M648" s="104"/>
      <c r="N648" s="137">
        <v>0</v>
      </c>
      <c r="O648" s="138">
        <v>0</v>
      </c>
      <c r="P648" s="138">
        <v>0</v>
      </c>
      <c r="Q648" s="138">
        <v>0</v>
      </c>
      <c r="R648" s="138">
        <v>0</v>
      </c>
      <c r="S648" s="139">
        <v>0</v>
      </c>
      <c r="T648" s="322">
        <f t="shared" si="117"/>
        <v>0</v>
      </c>
      <c r="U648" s="140" t="str">
        <f t="shared" si="118"/>
        <v/>
      </c>
      <c r="V648" s="322">
        <f t="shared" si="114"/>
        <v>0</v>
      </c>
      <c r="W648" s="140" t="str">
        <f t="shared" si="119"/>
        <v/>
      </c>
      <c r="X648" s="322">
        <f t="shared" si="120"/>
        <v>0</v>
      </c>
      <c r="Y648" s="140" t="str">
        <f t="shared" si="121"/>
        <v/>
      </c>
      <c r="Z648" s="519">
        <v>0</v>
      </c>
      <c r="AA648" s="111">
        <f t="shared" si="115"/>
        <v>0</v>
      </c>
      <c r="AB648" s="111">
        <f t="shared" si="116"/>
        <v>0</v>
      </c>
    </row>
    <row r="649" spans="1:28" ht="26.25" customHeight="1">
      <c r="A649" s="122" t="s">
        <v>1237</v>
      </c>
      <c r="B649" s="129" t="s">
        <v>2346</v>
      </c>
      <c r="C649" s="107" t="s">
        <v>2227</v>
      </c>
      <c r="D649" s="107" t="s">
        <v>3185</v>
      </c>
      <c r="E649" s="554" t="s">
        <v>1239</v>
      </c>
      <c r="F649" s="534" t="s">
        <v>1238</v>
      </c>
      <c r="G649" s="555"/>
      <c r="H649" s="555"/>
      <c r="I649" s="556"/>
      <c r="J649" s="557"/>
      <c r="K649" s="558"/>
      <c r="L649" s="95"/>
      <c r="M649" s="104"/>
      <c r="N649" s="137">
        <v>0</v>
      </c>
      <c r="O649" s="138">
        <v>0</v>
      </c>
      <c r="P649" s="138">
        <v>0</v>
      </c>
      <c r="Q649" s="138">
        <v>0</v>
      </c>
      <c r="R649" s="138">
        <v>0</v>
      </c>
      <c r="S649" s="139">
        <v>0</v>
      </c>
      <c r="T649" s="322">
        <f t="shared" si="117"/>
        <v>0</v>
      </c>
      <c r="U649" s="140" t="str">
        <f t="shared" si="118"/>
        <v/>
      </c>
      <c r="V649" s="322">
        <f t="shared" ref="V649:V712" si="122">IF(O649="","",Q649-O649)</f>
        <v>0</v>
      </c>
      <c r="W649" s="140" t="str">
        <f t="shared" si="119"/>
        <v/>
      </c>
      <c r="X649" s="322">
        <f t="shared" si="120"/>
        <v>0</v>
      </c>
      <c r="Y649" s="140" t="str">
        <f t="shared" si="121"/>
        <v/>
      </c>
      <c r="Z649" s="519">
        <v>0</v>
      </c>
      <c r="AA649" s="111">
        <f t="shared" ref="AA649:AA712" si="123">Z649/3*4</f>
        <v>0</v>
      </c>
      <c r="AB649" s="111">
        <f t="shared" ref="AB649:AB712" si="124">P649-AA649</f>
        <v>0</v>
      </c>
    </row>
    <row r="650" spans="1:28" ht="26.25" customHeight="1">
      <c r="A650" s="121" t="s">
        <v>1240</v>
      </c>
      <c r="B650" s="128" t="s">
        <v>2346</v>
      </c>
      <c r="C650" s="106" t="s">
        <v>2227</v>
      </c>
      <c r="D650" s="106" t="s">
        <v>3183</v>
      </c>
      <c r="E650" s="559" t="s">
        <v>1239</v>
      </c>
      <c r="F650" s="540" t="s">
        <v>1238</v>
      </c>
      <c r="G650" s="555" t="s">
        <v>575</v>
      </c>
      <c r="H650" s="555" t="s">
        <v>3743</v>
      </c>
      <c r="I650" s="556" t="s">
        <v>4026</v>
      </c>
      <c r="J650" s="557" t="s">
        <v>1008</v>
      </c>
      <c r="K650" s="558" t="s">
        <v>2884</v>
      </c>
      <c r="L650" s="95"/>
      <c r="M650" s="104"/>
      <c r="N650" s="137">
        <v>1466506.6199999999</v>
      </c>
      <c r="O650" s="138">
        <v>1853800</v>
      </c>
      <c r="P650" s="138">
        <v>1466000</v>
      </c>
      <c r="Q650" s="138">
        <v>1466000</v>
      </c>
      <c r="R650" s="138">
        <v>1466000</v>
      </c>
      <c r="S650" s="139">
        <v>1466000</v>
      </c>
      <c r="T650" s="322">
        <f t="shared" si="117"/>
        <v>-506.61999999987893</v>
      </c>
      <c r="U650" s="140">
        <f t="shared" si="118"/>
        <v>-3.4546042485636988E-4</v>
      </c>
      <c r="V650" s="322">
        <f t="shared" si="122"/>
        <v>-387800</v>
      </c>
      <c r="W650" s="140">
        <f t="shared" si="119"/>
        <v>-0.20919193008954579</v>
      </c>
      <c r="X650" s="322">
        <f t="shared" si="120"/>
        <v>0</v>
      </c>
      <c r="Y650" s="140">
        <f t="shared" si="121"/>
        <v>0</v>
      </c>
      <c r="Z650" s="519">
        <v>1099340.22</v>
      </c>
      <c r="AA650" s="111">
        <f t="shared" si="123"/>
        <v>1465786.96</v>
      </c>
      <c r="AB650" s="111">
        <f t="shared" si="124"/>
        <v>213.04000000003725</v>
      </c>
    </row>
    <row r="651" spans="1:28" ht="26.25" customHeight="1">
      <c r="A651" s="122" t="s">
        <v>1241</v>
      </c>
      <c r="B651" s="129" t="s">
        <v>2346</v>
      </c>
      <c r="C651" s="107" t="s">
        <v>2629</v>
      </c>
      <c r="D651" s="107" t="s">
        <v>3185</v>
      </c>
      <c r="E651" s="578" t="s">
        <v>3535</v>
      </c>
      <c r="F651" s="578" t="s">
        <v>1242</v>
      </c>
      <c r="G651" s="555"/>
      <c r="H651" s="555"/>
      <c r="I651" s="556"/>
      <c r="J651" s="557"/>
      <c r="K651" s="558"/>
      <c r="L651" s="95"/>
      <c r="M651" s="104"/>
      <c r="N651" s="137">
        <v>0</v>
      </c>
      <c r="O651" s="138">
        <v>0</v>
      </c>
      <c r="P651" s="138">
        <v>0</v>
      </c>
      <c r="Q651" s="138">
        <v>0</v>
      </c>
      <c r="R651" s="138">
        <v>0</v>
      </c>
      <c r="S651" s="139">
        <v>0</v>
      </c>
      <c r="T651" s="322">
        <f t="shared" si="117"/>
        <v>0</v>
      </c>
      <c r="U651" s="140" t="str">
        <f t="shared" si="118"/>
        <v/>
      </c>
      <c r="V651" s="322">
        <f t="shared" si="122"/>
        <v>0</v>
      </c>
      <c r="W651" s="140" t="str">
        <f t="shared" si="119"/>
        <v/>
      </c>
      <c r="X651" s="322">
        <f t="shared" si="120"/>
        <v>0</v>
      </c>
      <c r="Y651" s="140" t="str">
        <f t="shared" si="121"/>
        <v/>
      </c>
      <c r="Z651" s="519">
        <v>0</v>
      </c>
      <c r="AA651" s="111">
        <f t="shared" si="123"/>
        <v>0</v>
      </c>
      <c r="AB651" s="111">
        <f t="shared" si="124"/>
        <v>0</v>
      </c>
    </row>
    <row r="652" spans="1:28" ht="36.75" customHeight="1">
      <c r="A652" s="121" t="s">
        <v>1243</v>
      </c>
      <c r="B652" s="128" t="s">
        <v>2346</v>
      </c>
      <c r="C652" s="106" t="s">
        <v>2629</v>
      </c>
      <c r="D652" s="106" t="s">
        <v>1378</v>
      </c>
      <c r="E652" s="559" t="s">
        <v>1244</v>
      </c>
      <c r="F652" s="579" t="s">
        <v>5330</v>
      </c>
      <c r="G652" s="555" t="s">
        <v>1329</v>
      </c>
      <c r="H652" s="555" t="s">
        <v>3310</v>
      </c>
      <c r="I652" s="556" t="s">
        <v>3311</v>
      </c>
      <c r="J652" s="557" t="s">
        <v>3607</v>
      </c>
      <c r="K652" s="543" t="s">
        <v>2868</v>
      </c>
      <c r="L652" s="95"/>
      <c r="M652" s="104"/>
      <c r="N652" s="137">
        <v>0</v>
      </c>
      <c r="O652" s="138">
        <v>0</v>
      </c>
      <c r="P652" s="138">
        <v>0</v>
      </c>
      <c r="Q652" s="138">
        <v>0</v>
      </c>
      <c r="R652" s="138">
        <v>0</v>
      </c>
      <c r="S652" s="139">
        <v>0</v>
      </c>
      <c r="T652" s="322">
        <f t="shared" si="117"/>
        <v>0</v>
      </c>
      <c r="U652" s="140" t="str">
        <f t="shared" si="118"/>
        <v/>
      </c>
      <c r="V652" s="322">
        <f t="shared" si="122"/>
        <v>0</v>
      </c>
      <c r="W652" s="140" t="str">
        <f t="shared" si="119"/>
        <v/>
      </c>
      <c r="X652" s="322">
        <f t="shared" si="120"/>
        <v>0</v>
      </c>
      <c r="Y652" s="140" t="str">
        <f t="shared" si="121"/>
        <v/>
      </c>
      <c r="Z652" s="519">
        <v>0</v>
      </c>
      <c r="AA652" s="111">
        <f t="shared" si="123"/>
        <v>0</v>
      </c>
      <c r="AB652" s="111">
        <f t="shared" si="124"/>
        <v>0</v>
      </c>
    </row>
    <row r="653" spans="1:28" ht="26.25" customHeight="1">
      <c r="A653" s="121" t="s">
        <v>1245</v>
      </c>
      <c r="B653" s="128" t="s">
        <v>2346</v>
      </c>
      <c r="C653" s="106" t="s">
        <v>2629</v>
      </c>
      <c r="D653" s="106" t="s">
        <v>1379</v>
      </c>
      <c r="E653" s="559" t="s">
        <v>1246</v>
      </c>
      <c r="F653" s="579" t="s">
        <v>5331</v>
      </c>
      <c r="G653" s="555" t="s">
        <v>1327</v>
      </c>
      <c r="H653" s="555" t="s">
        <v>3312</v>
      </c>
      <c r="I653" s="556" t="s">
        <v>3313</v>
      </c>
      <c r="J653" s="557" t="s">
        <v>3607</v>
      </c>
      <c r="K653" s="543" t="s">
        <v>2868</v>
      </c>
      <c r="L653" s="95"/>
      <c r="M653" s="104"/>
      <c r="N653" s="137">
        <v>0</v>
      </c>
      <c r="O653" s="138">
        <v>70000</v>
      </c>
      <c r="P653" s="138">
        <v>0</v>
      </c>
      <c r="Q653" s="138">
        <v>0</v>
      </c>
      <c r="R653" s="138">
        <v>0</v>
      </c>
      <c r="S653" s="139">
        <v>0</v>
      </c>
      <c r="T653" s="322">
        <f t="shared" si="117"/>
        <v>0</v>
      </c>
      <c r="U653" s="140" t="str">
        <f t="shared" si="118"/>
        <v/>
      </c>
      <c r="V653" s="322">
        <f t="shared" si="122"/>
        <v>-70000</v>
      </c>
      <c r="W653" s="140">
        <f t="shared" si="119"/>
        <v>-1</v>
      </c>
      <c r="X653" s="322">
        <f t="shared" si="120"/>
        <v>0</v>
      </c>
      <c r="Y653" s="140" t="str">
        <f t="shared" si="121"/>
        <v/>
      </c>
      <c r="Z653" s="519">
        <v>0</v>
      </c>
      <c r="AA653" s="111">
        <f t="shared" si="123"/>
        <v>0</v>
      </c>
      <c r="AB653" s="111">
        <f t="shared" si="124"/>
        <v>0</v>
      </c>
    </row>
    <row r="654" spans="1:28" ht="36.75" customHeight="1">
      <c r="A654" s="121" t="s">
        <v>378</v>
      </c>
      <c r="B654" s="128" t="s">
        <v>2346</v>
      </c>
      <c r="C654" s="106" t="s">
        <v>2629</v>
      </c>
      <c r="D654" s="106" t="s">
        <v>1398</v>
      </c>
      <c r="E654" s="559" t="s">
        <v>5569</v>
      </c>
      <c r="F654" s="579" t="s">
        <v>5332</v>
      </c>
      <c r="G654" s="555" t="s">
        <v>26</v>
      </c>
      <c r="H654" s="555" t="s">
        <v>379</v>
      </c>
      <c r="I654" s="556" t="s">
        <v>3314</v>
      </c>
      <c r="J654" s="557" t="s">
        <v>2878</v>
      </c>
      <c r="K654" s="558" t="s">
        <v>3446</v>
      </c>
      <c r="L654" s="95"/>
      <c r="M654" s="104"/>
      <c r="N654" s="137">
        <v>0</v>
      </c>
      <c r="O654" s="138">
        <v>0</v>
      </c>
      <c r="P654" s="138">
        <v>0</v>
      </c>
      <c r="Q654" s="138">
        <v>0</v>
      </c>
      <c r="R654" s="138">
        <v>0</v>
      </c>
      <c r="S654" s="139">
        <v>0</v>
      </c>
      <c r="T654" s="322">
        <f t="shared" si="117"/>
        <v>0</v>
      </c>
      <c r="U654" s="140" t="str">
        <f t="shared" si="118"/>
        <v/>
      </c>
      <c r="V654" s="322">
        <f t="shared" si="122"/>
        <v>0</v>
      </c>
      <c r="W654" s="140" t="str">
        <f t="shared" si="119"/>
        <v/>
      </c>
      <c r="X654" s="322">
        <f t="shared" si="120"/>
        <v>0</v>
      </c>
      <c r="Y654" s="140" t="str">
        <f t="shared" si="121"/>
        <v/>
      </c>
      <c r="Z654" s="519">
        <v>0</v>
      </c>
      <c r="AA654" s="111">
        <f t="shared" si="123"/>
        <v>0</v>
      </c>
      <c r="AB654" s="111">
        <f t="shared" si="124"/>
        <v>0</v>
      </c>
    </row>
    <row r="655" spans="1:28" ht="26.25" customHeight="1">
      <c r="A655" s="121" t="s">
        <v>992</v>
      </c>
      <c r="B655" s="128" t="s">
        <v>2346</v>
      </c>
      <c r="C655" s="106" t="s">
        <v>2629</v>
      </c>
      <c r="D655" s="106" t="s">
        <v>1399</v>
      </c>
      <c r="E655" s="559" t="s">
        <v>993</v>
      </c>
      <c r="F655" s="579" t="s">
        <v>5333</v>
      </c>
      <c r="G655" s="555" t="s">
        <v>24</v>
      </c>
      <c r="H655" s="555" t="s">
        <v>3315</v>
      </c>
      <c r="I655" s="556" t="s">
        <v>3316</v>
      </c>
      <c r="J655" s="557" t="s">
        <v>2878</v>
      </c>
      <c r="K655" s="558" t="s">
        <v>3446</v>
      </c>
      <c r="L655" s="95"/>
      <c r="M655" s="104"/>
      <c r="N655" s="137">
        <v>39025.22</v>
      </c>
      <c r="O655" s="138">
        <v>40000</v>
      </c>
      <c r="P655" s="138">
        <v>100000</v>
      </c>
      <c r="Q655" s="138">
        <v>100000</v>
      </c>
      <c r="R655" s="138">
        <v>100000</v>
      </c>
      <c r="S655" s="139">
        <v>100000</v>
      </c>
      <c r="T655" s="322">
        <f t="shared" si="117"/>
        <v>60974.78</v>
      </c>
      <c r="U655" s="140">
        <f t="shared" si="118"/>
        <v>1.5624455160022159</v>
      </c>
      <c r="V655" s="322">
        <f t="shared" si="122"/>
        <v>60000</v>
      </c>
      <c r="W655" s="140">
        <f t="shared" si="119"/>
        <v>1.5</v>
      </c>
      <c r="X655" s="322">
        <f t="shared" si="120"/>
        <v>0</v>
      </c>
      <c r="Y655" s="140">
        <f t="shared" si="121"/>
        <v>0</v>
      </c>
      <c r="Z655" s="519">
        <v>30000</v>
      </c>
      <c r="AA655" s="111">
        <f t="shared" si="123"/>
        <v>40000</v>
      </c>
      <c r="AB655" s="111">
        <f t="shared" si="124"/>
        <v>60000</v>
      </c>
    </row>
    <row r="656" spans="1:28" ht="26.25" customHeight="1">
      <c r="A656" s="122" t="s">
        <v>994</v>
      </c>
      <c r="B656" s="129" t="s">
        <v>2346</v>
      </c>
      <c r="C656" s="107" t="s">
        <v>2630</v>
      </c>
      <c r="D656" s="107" t="s">
        <v>3185</v>
      </c>
      <c r="E656" s="554" t="s">
        <v>996</v>
      </c>
      <c r="F656" s="580" t="s">
        <v>995</v>
      </c>
      <c r="G656" s="555"/>
      <c r="H656" s="555"/>
      <c r="I656" s="556"/>
      <c r="J656" s="557"/>
      <c r="K656" s="558"/>
      <c r="L656" s="95"/>
      <c r="M656" s="104"/>
      <c r="N656" s="137">
        <v>0</v>
      </c>
      <c r="O656" s="138">
        <v>0</v>
      </c>
      <c r="P656" s="138">
        <v>0</v>
      </c>
      <c r="Q656" s="138">
        <v>0</v>
      </c>
      <c r="R656" s="138">
        <v>0</v>
      </c>
      <c r="S656" s="139">
        <v>0</v>
      </c>
      <c r="T656" s="322">
        <f t="shared" si="117"/>
        <v>0</v>
      </c>
      <c r="U656" s="140" t="str">
        <f t="shared" si="118"/>
        <v/>
      </c>
      <c r="V656" s="322">
        <f t="shared" si="122"/>
        <v>0</v>
      </c>
      <c r="W656" s="140" t="str">
        <f t="shared" si="119"/>
        <v/>
      </c>
      <c r="X656" s="322">
        <f t="shared" si="120"/>
        <v>0</v>
      </c>
      <c r="Y656" s="140" t="str">
        <f t="shared" si="121"/>
        <v/>
      </c>
      <c r="Z656" s="519">
        <v>0</v>
      </c>
      <c r="AA656" s="111">
        <f t="shared" si="123"/>
        <v>0</v>
      </c>
      <c r="AB656" s="111">
        <f t="shared" si="124"/>
        <v>0</v>
      </c>
    </row>
    <row r="657" spans="1:28" ht="26.25" customHeight="1">
      <c r="A657" s="121" t="s">
        <v>997</v>
      </c>
      <c r="B657" s="128" t="s">
        <v>2346</v>
      </c>
      <c r="C657" s="106" t="s">
        <v>2630</v>
      </c>
      <c r="D657" s="106" t="s">
        <v>3183</v>
      </c>
      <c r="E657" s="559" t="s">
        <v>4335</v>
      </c>
      <c r="F657" s="579" t="s">
        <v>5570</v>
      </c>
      <c r="G657" s="555" t="s">
        <v>575</v>
      </c>
      <c r="H657" s="555" t="s">
        <v>3743</v>
      </c>
      <c r="I657" s="556" t="s">
        <v>4026</v>
      </c>
      <c r="J657" s="557" t="s">
        <v>1008</v>
      </c>
      <c r="K657" s="558" t="s">
        <v>2884</v>
      </c>
      <c r="L657" s="95"/>
      <c r="M657" s="104"/>
      <c r="N657" s="137">
        <v>1189648.68</v>
      </c>
      <c r="O657" s="138">
        <v>1230000</v>
      </c>
      <c r="P657" s="138">
        <v>1479000</v>
      </c>
      <c r="Q657" s="138">
        <v>1500000</v>
      </c>
      <c r="R657" s="138">
        <v>1600000</v>
      </c>
      <c r="S657" s="139">
        <v>1700000</v>
      </c>
      <c r="T657" s="322">
        <f t="shared" si="117"/>
        <v>310351.32000000007</v>
      </c>
      <c r="U657" s="140">
        <f t="shared" si="118"/>
        <v>0.26087644631354534</v>
      </c>
      <c r="V657" s="322">
        <f t="shared" si="122"/>
        <v>270000</v>
      </c>
      <c r="W657" s="140">
        <f t="shared" si="119"/>
        <v>0.21951219512195122</v>
      </c>
      <c r="X657" s="322">
        <f t="shared" si="120"/>
        <v>21000</v>
      </c>
      <c r="Y657" s="140">
        <f t="shared" si="121"/>
        <v>1.4198782961460446E-2</v>
      </c>
      <c r="Z657" s="519">
        <v>1109405.2</v>
      </c>
      <c r="AA657" s="111">
        <f t="shared" si="123"/>
        <v>1479206.9333333333</v>
      </c>
      <c r="AB657" s="111">
        <f t="shared" si="124"/>
        <v>-206.93333333334886</v>
      </c>
    </row>
    <row r="658" spans="1:28" ht="27" customHeight="1">
      <c r="A658" s="113" t="s">
        <v>998</v>
      </c>
      <c r="B658" s="135" t="s">
        <v>999</v>
      </c>
      <c r="C658" s="136" t="s">
        <v>3184</v>
      </c>
      <c r="D658" s="136" t="s">
        <v>3185</v>
      </c>
      <c r="E658" s="529" t="s">
        <v>1001</v>
      </c>
      <c r="F658" s="529" t="s">
        <v>1000</v>
      </c>
      <c r="G658" s="530"/>
      <c r="H658" s="530"/>
      <c r="I658" s="531"/>
      <c r="J658" s="532"/>
      <c r="K658" s="533"/>
      <c r="L658" s="95"/>
      <c r="M658" s="147"/>
      <c r="N658" s="137">
        <v>0</v>
      </c>
      <c r="O658" s="138">
        <v>0</v>
      </c>
      <c r="P658" s="138">
        <v>0</v>
      </c>
      <c r="Q658" s="138">
        <v>0</v>
      </c>
      <c r="R658" s="138">
        <v>0</v>
      </c>
      <c r="S658" s="139">
        <v>0</v>
      </c>
      <c r="T658" s="322">
        <f t="shared" si="117"/>
        <v>0</v>
      </c>
      <c r="U658" s="140" t="str">
        <f t="shared" si="118"/>
        <v/>
      </c>
      <c r="V658" s="322">
        <f t="shared" si="122"/>
        <v>0</v>
      </c>
      <c r="W658" s="140" t="str">
        <f t="shared" si="119"/>
        <v/>
      </c>
      <c r="X658" s="322">
        <f t="shared" si="120"/>
        <v>0</v>
      </c>
      <c r="Y658" s="140" t="str">
        <f t="shared" si="121"/>
        <v/>
      </c>
      <c r="Z658" s="519">
        <v>0</v>
      </c>
      <c r="AA658" s="111">
        <f t="shared" si="123"/>
        <v>0</v>
      </c>
      <c r="AB658" s="111">
        <f t="shared" si="124"/>
        <v>0</v>
      </c>
    </row>
    <row r="659" spans="1:28" ht="27" customHeight="1">
      <c r="A659" s="122" t="s">
        <v>1002</v>
      </c>
      <c r="B659" s="129" t="s">
        <v>999</v>
      </c>
      <c r="C659" s="107" t="s">
        <v>3186</v>
      </c>
      <c r="D659" s="107" t="s">
        <v>3185</v>
      </c>
      <c r="E659" s="554" t="s">
        <v>1004</v>
      </c>
      <c r="F659" s="580" t="s">
        <v>1003</v>
      </c>
      <c r="G659" s="555"/>
      <c r="H659" s="555"/>
      <c r="I659" s="556"/>
      <c r="J659" s="557"/>
      <c r="K659" s="558"/>
      <c r="L659" s="95"/>
      <c r="M659" s="104"/>
      <c r="N659" s="137">
        <v>0</v>
      </c>
      <c r="O659" s="138">
        <v>0</v>
      </c>
      <c r="P659" s="138">
        <v>0</v>
      </c>
      <c r="Q659" s="138">
        <v>0</v>
      </c>
      <c r="R659" s="138">
        <v>0</v>
      </c>
      <c r="S659" s="139">
        <v>0</v>
      </c>
      <c r="T659" s="322">
        <f t="shared" si="117"/>
        <v>0</v>
      </c>
      <c r="U659" s="140" t="str">
        <f t="shared" si="118"/>
        <v/>
      </c>
      <c r="V659" s="322">
        <f t="shared" si="122"/>
        <v>0</v>
      </c>
      <c r="W659" s="140" t="str">
        <f t="shared" si="119"/>
        <v/>
      </c>
      <c r="X659" s="322">
        <f t="shared" si="120"/>
        <v>0</v>
      </c>
      <c r="Y659" s="140" t="str">
        <f t="shared" si="121"/>
        <v/>
      </c>
      <c r="Z659" s="519">
        <v>0</v>
      </c>
      <c r="AA659" s="111">
        <f t="shared" si="123"/>
        <v>0</v>
      </c>
      <c r="AB659" s="111">
        <f t="shared" si="124"/>
        <v>0</v>
      </c>
    </row>
    <row r="660" spans="1:28" ht="27" customHeight="1">
      <c r="A660" s="121" t="s">
        <v>1005</v>
      </c>
      <c r="B660" s="128" t="s">
        <v>999</v>
      </c>
      <c r="C660" s="106" t="s">
        <v>3186</v>
      </c>
      <c r="D660" s="106" t="s">
        <v>3183</v>
      </c>
      <c r="E660" s="559" t="s">
        <v>1004</v>
      </c>
      <c r="F660" s="579" t="s">
        <v>1003</v>
      </c>
      <c r="G660" s="555" t="s">
        <v>1201</v>
      </c>
      <c r="H660" s="555" t="s">
        <v>3317</v>
      </c>
      <c r="I660" s="556" t="s">
        <v>1006</v>
      </c>
      <c r="J660" s="557" t="s">
        <v>2891</v>
      </c>
      <c r="K660" s="558" t="s">
        <v>2892</v>
      </c>
      <c r="L660" s="95"/>
      <c r="M660" s="104"/>
      <c r="N660" s="137">
        <v>0</v>
      </c>
      <c r="O660" s="138">
        <v>0</v>
      </c>
      <c r="P660" s="138">
        <v>0</v>
      </c>
      <c r="Q660" s="138">
        <v>0</v>
      </c>
      <c r="R660" s="138">
        <v>0</v>
      </c>
      <c r="S660" s="139">
        <v>0</v>
      </c>
      <c r="T660" s="322">
        <f t="shared" si="117"/>
        <v>0</v>
      </c>
      <c r="U660" s="140" t="str">
        <f t="shared" si="118"/>
        <v/>
      </c>
      <c r="V660" s="322">
        <f t="shared" si="122"/>
        <v>0</v>
      </c>
      <c r="W660" s="140" t="str">
        <f t="shared" si="119"/>
        <v/>
      </c>
      <c r="X660" s="322">
        <f t="shared" si="120"/>
        <v>0</v>
      </c>
      <c r="Y660" s="140" t="str">
        <f t="shared" si="121"/>
        <v/>
      </c>
      <c r="Z660" s="519">
        <v>0</v>
      </c>
      <c r="AA660" s="111">
        <f t="shared" si="123"/>
        <v>0</v>
      </c>
      <c r="AB660" s="111">
        <f t="shared" si="124"/>
        <v>0</v>
      </c>
    </row>
    <row r="661" spans="1:28" ht="27" customHeight="1">
      <c r="A661" s="122" t="s">
        <v>1009</v>
      </c>
      <c r="B661" s="129" t="s">
        <v>999</v>
      </c>
      <c r="C661" s="107" t="s">
        <v>3187</v>
      </c>
      <c r="D661" s="107" t="s">
        <v>3185</v>
      </c>
      <c r="E661" s="554" t="s">
        <v>3318</v>
      </c>
      <c r="F661" s="580" t="s">
        <v>3319</v>
      </c>
      <c r="G661" s="555"/>
      <c r="H661" s="555"/>
      <c r="I661" s="556"/>
      <c r="J661" s="557"/>
      <c r="K661" s="558"/>
      <c r="L661" s="95"/>
      <c r="M661" s="104"/>
      <c r="N661" s="137">
        <v>0</v>
      </c>
      <c r="O661" s="138">
        <v>0</v>
      </c>
      <c r="P661" s="138">
        <v>0</v>
      </c>
      <c r="Q661" s="138">
        <v>0</v>
      </c>
      <c r="R661" s="138">
        <v>0</v>
      </c>
      <c r="S661" s="139">
        <v>0</v>
      </c>
      <c r="T661" s="322">
        <f t="shared" si="117"/>
        <v>0</v>
      </c>
      <c r="U661" s="140" t="str">
        <f t="shared" si="118"/>
        <v/>
      </c>
      <c r="V661" s="322">
        <f t="shared" si="122"/>
        <v>0</v>
      </c>
      <c r="W661" s="140" t="str">
        <f t="shared" si="119"/>
        <v/>
      </c>
      <c r="X661" s="322">
        <f t="shared" si="120"/>
        <v>0</v>
      </c>
      <c r="Y661" s="140" t="str">
        <f t="shared" si="121"/>
        <v/>
      </c>
      <c r="Z661" s="519">
        <v>0</v>
      </c>
      <c r="AA661" s="111">
        <f t="shared" si="123"/>
        <v>0</v>
      </c>
      <c r="AB661" s="111">
        <f t="shared" si="124"/>
        <v>0</v>
      </c>
    </row>
    <row r="662" spans="1:28" ht="27" customHeight="1">
      <c r="A662" s="121" t="s">
        <v>1010</v>
      </c>
      <c r="B662" s="128" t="s">
        <v>999</v>
      </c>
      <c r="C662" s="106" t="s">
        <v>3187</v>
      </c>
      <c r="D662" s="106" t="s">
        <v>3183</v>
      </c>
      <c r="E662" s="559" t="s">
        <v>3320</v>
      </c>
      <c r="F662" s="579" t="s">
        <v>3319</v>
      </c>
      <c r="G662" s="555" t="s">
        <v>1201</v>
      </c>
      <c r="H662" s="555" t="s">
        <v>3317</v>
      </c>
      <c r="I662" s="556" t="s">
        <v>1006</v>
      </c>
      <c r="J662" s="557" t="s">
        <v>2891</v>
      </c>
      <c r="K662" s="558" t="s">
        <v>2892</v>
      </c>
      <c r="L662" s="95"/>
      <c r="M662" s="104"/>
      <c r="N662" s="137">
        <v>0</v>
      </c>
      <c r="O662" s="138">
        <v>0</v>
      </c>
      <c r="P662" s="138">
        <v>0</v>
      </c>
      <c r="Q662" s="138">
        <v>0</v>
      </c>
      <c r="R662" s="138">
        <v>0</v>
      </c>
      <c r="S662" s="139">
        <v>0</v>
      </c>
      <c r="T662" s="322">
        <f t="shared" si="117"/>
        <v>0</v>
      </c>
      <c r="U662" s="140" t="str">
        <f t="shared" si="118"/>
        <v/>
      </c>
      <c r="V662" s="322">
        <f t="shared" si="122"/>
        <v>0</v>
      </c>
      <c r="W662" s="140" t="str">
        <f t="shared" si="119"/>
        <v/>
      </c>
      <c r="X662" s="322">
        <f t="shared" si="120"/>
        <v>0</v>
      </c>
      <c r="Y662" s="140" t="str">
        <f t="shared" si="121"/>
        <v/>
      </c>
      <c r="Z662" s="519">
        <v>0</v>
      </c>
      <c r="AA662" s="111">
        <f t="shared" si="123"/>
        <v>0</v>
      </c>
      <c r="AB662" s="111">
        <f t="shared" si="124"/>
        <v>0</v>
      </c>
    </row>
    <row r="663" spans="1:28" ht="27" customHeight="1">
      <c r="A663" s="122" t="s">
        <v>1011</v>
      </c>
      <c r="B663" s="129" t="s">
        <v>999</v>
      </c>
      <c r="C663" s="107" t="s">
        <v>3189</v>
      </c>
      <c r="D663" s="107" t="s">
        <v>3185</v>
      </c>
      <c r="E663" s="554" t="s">
        <v>1013</v>
      </c>
      <c r="F663" s="580" t="s">
        <v>1012</v>
      </c>
      <c r="G663" s="555"/>
      <c r="H663" s="555"/>
      <c r="I663" s="556"/>
      <c r="J663" s="557"/>
      <c r="K663" s="558"/>
      <c r="L663" s="95"/>
      <c r="M663" s="104"/>
      <c r="N663" s="137">
        <v>0</v>
      </c>
      <c r="O663" s="138">
        <v>0</v>
      </c>
      <c r="P663" s="138">
        <v>0</v>
      </c>
      <c r="Q663" s="138">
        <v>0</v>
      </c>
      <c r="R663" s="138">
        <v>0</v>
      </c>
      <c r="S663" s="139">
        <v>0</v>
      </c>
      <c r="T663" s="322">
        <f t="shared" si="117"/>
        <v>0</v>
      </c>
      <c r="U663" s="140" t="str">
        <f t="shared" si="118"/>
        <v/>
      </c>
      <c r="V663" s="322">
        <f t="shared" si="122"/>
        <v>0</v>
      </c>
      <c r="W663" s="140" t="str">
        <f t="shared" si="119"/>
        <v/>
      </c>
      <c r="X663" s="322">
        <f t="shared" si="120"/>
        <v>0</v>
      </c>
      <c r="Y663" s="140" t="str">
        <f t="shared" si="121"/>
        <v/>
      </c>
      <c r="Z663" s="519">
        <v>0</v>
      </c>
      <c r="AA663" s="111">
        <f t="shared" si="123"/>
        <v>0</v>
      </c>
      <c r="AB663" s="111">
        <f t="shared" si="124"/>
        <v>0</v>
      </c>
    </row>
    <row r="664" spans="1:28" ht="27" customHeight="1">
      <c r="A664" s="121" t="s">
        <v>1014</v>
      </c>
      <c r="B664" s="128" t="s">
        <v>999</v>
      </c>
      <c r="C664" s="106" t="s">
        <v>3189</v>
      </c>
      <c r="D664" s="106" t="s">
        <v>3183</v>
      </c>
      <c r="E664" s="559" t="s">
        <v>1013</v>
      </c>
      <c r="F664" s="579" t="s">
        <v>1012</v>
      </c>
      <c r="G664" s="555" t="s">
        <v>1201</v>
      </c>
      <c r="H664" s="555" t="s">
        <v>3317</v>
      </c>
      <c r="I664" s="556" t="s">
        <v>1006</v>
      </c>
      <c r="J664" s="557" t="s">
        <v>2891</v>
      </c>
      <c r="K664" s="558" t="s">
        <v>2892</v>
      </c>
      <c r="L664" s="95"/>
      <c r="M664" s="104"/>
      <c r="N664" s="137">
        <v>0</v>
      </c>
      <c r="O664" s="138">
        <v>0</v>
      </c>
      <c r="P664" s="138">
        <v>0</v>
      </c>
      <c r="Q664" s="138">
        <v>0</v>
      </c>
      <c r="R664" s="138">
        <v>0</v>
      </c>
      <c r="S664" s="139">
        <v>0</v>
      </c>
      <c r="T664" s="322">
        <f t="shared" si="117"/>
        <v>0</v>
      </c>
      <c r="U664" s="140" t="str">
        <f t="shared" si="118"/>
        <v/>
      </c>
      <c r="V664" s="322">
        <f t="shared" si="122"/>
        <v>0</v>
      </c>
      <c r="W664" s="140" t="str">
        <f t="shared" si="119"/>
        <v/>
      </c>
      <c r="X664" s="322">
        <f t="shared" si="120"/>
        <v>0</v>
      </c>
      <c r="Y664" s="140" t="str">
        <f t="shared" si="121"/>
        <v/>
      </c>
      <c r="Z664" s="519">
        <v>0</v>
      </c>
      <c r="AA664" s="111">
        <f t="shared" si="123"/>
        <v>0</v>
      </c>
      <c r="AB664" s="111">
        <f t="shared" si="124"/>
        <v>0</v>
      </c>
    </row>
    <row r="665" spans="1:28" ht="36" customHeight="1">
      <c r="A665" s="121" t="s">
        <v>3321</v>
      </c>
      <c r="B665" s="128" t="s">
        <v>999</v>
      </c>
      <c r="C665" s="106" t="s">
        <v>3189</v>
      </c>
      <c r="D665" s="106" t="s">
        <v>3193</v>
      </c>
      <c r="E665" s="559" t="s">
        <v>3322</v>
      </c>
      <c r="F665" s="579" t="s">
        <v>3323</v>
      </c>
      <c r="G665" s="555" t="s">
        <v>1201</v>
      </c>
      <c r="H665" s="555" t="s">
        <v>3317</v>
      </c>
      <c r="I665" s="556" t="s">
        <v>1006</v>
      </c>
      <c r="J665" s="557" t="s">
        <v>2891</v>
      </c>
      <c r="K665" s="558" t="s">
        <v>2892</v>
      </c>
      <c r="L665" s="95"/>
      <c r="M665" s="104"/>
      <c r="N665" s="137">
        <v>0</v>
      </c>
      <c r="O665" s="138">
        <v>0</v>
      </c>
      <c r="P665" s="138">
        <v>0</v>
      </c>
      <c r="Q665" s="138">
        <v>0</v>
      </c>
      <c r="R665" s="138">
        <v>0</v>
      </c>
      <c r="S665" s="139">
        <v>0</v>
      </c>
      <c r="T665" s="322">
        <f t="shared" si="117"/>
        <v>0</v>
      </c>
      <c r="U665" s="140" t="str">
        <f t="shared" si="118"/>
        <v/>
      </c>
      <c r="V665" s="322">
        <f t="shared" si="122"/>
        <v>0</v>
      </c>
      <c r="W665" s="140" t="str">
        <f t="shared" si="119"/>
        <v/>
      </c>
      <c r="X665" s="322">
        <f t="shared" si="120"/>
        <v>0</v>
      </c>
      <c r="Y665" s="140" t="str">
        <f t="shared" si="121"/>
        <v/>
      </c>
      <c r="Z665" s="519">
        <v>0</v>
      </c>
      <c r="AA665" s="111">
        <f t="shared" si="123"/>
        <v>0</v>
      </c>
      <c r="AB665" s="111">
        <f t="shared" si="124"/>
        <v>0</v>
      </c>
    </row>
    <row r="666" spans="1:28" ht="27" customHeight="1">
      <c r="A666" s="122" t="s">
        <v>1015</v>
      </c>
      <c r="B666" s="129" t="s">
        <v>999</v>
      </c>
      <c r="C666" s="107" t="s">
        <v>3190</v>
      </c>
      <c r="D666" s="107" t="s">
        <v>3185</v>
      </c>
      <c r="E666" s="554" t="s">
        <v>1017</v>
      </c>
      <c r="F666" s="580" t="s">
        <v>1016</v>
      </c>
      <c r="G666" s="555"/>
      <c r="H666" s="555"/>
      <c r="I666" s="556"/>
      <c r="J666" s="557"/>
      <c r="K666" s="558"/>
      <c r="L666" s="95"/>
      <c r="M666" s="104"/>
      <c r="N666" s="137">
        <v>0</v>
      </c>
      <c r="O666" s="138">
        <v>0</v>
      </c>
      <c r="P666" s="138">
        <v>0</v>
      </c>
      <c r="Q666" s="138">
        <v>0</v>
      </c>
      <c r="R666" s="138">
        <v>0</v>
      </c>
      <c r="S666" s="139">
        <v>0</v>
      </c>
      <c r="T666" s="322">
        <f t="shared" si="117"/>
        <v>0</v>
      </c>
      <c r="U666" s="140" t="str">
        <f t="shared" si="118"/>
        <v/>
      </c>
      <c r="V666" s="322">
        <f t="shared" si="122"/>
        <v>0</v>
      </c>
      <c r="W666" s="140" t="str">
        <f t="shared" si="119"/>
        <v/>
      </c>
      <c r="X666" s="322">
        <f t="shared" si="120"/>
        <v>0</v>
      </c>
      <c r="Y666" s="140" t="str">
        <f t="shared" si="121"/>
        <v/>
      </c>
      <c r="Z666" s="519">
        <v>0</v>
      </c>
      <c r="AA666" s="111">
        <f t="shared" si="123"/>
        <v>0</v>
      </c>
      <c r="AB666" s="111">
        <f t="shared" si="124"/>
        <v>0</v>
      </c>
    </row>
    <row r="667" spans="1:28" ht="27" customHeight="1">
      <c r="A667" s="121" t="s">
        <v>1018</v>
      </c>
      <c r="B667" s="128" t="s">
        <v>999</v>
      </c>
      <c r="C667" s="106" t="s">
        <v>3190</v>
      </c>
      <c r="D667" s="106" t="s">
        <v>3183</v>
      </c>
      <c r="E667" s="559" t="s">
        <v>1017</v>
      </c>
      <c r="F667" s="579" t="s">
        <v>1016</v>
      </c>
      <c r="G667" s="555" t="s">
        <v>1201</v>
      </c>
      <c r="H667" s="555" t="s">
        <v>3317</v>
      </c>
      <c r="I667" s="556" t="s">
        <v>1006</v>
      </c>
      <c r="J667" s="557" t="s">
        <v>2891</v>
      </c>
      <c r="K667" s="558" t="s">
        <v>2892</v>
      </c>
      <c r="L667" s="95"/>
      <c r="M667" s="104"/>
      <c r="N667" s="137">
        <v>4425641.57</v>
      </c>
      <c r="O667" s="138">
        <v>4056000</v>
      </c>
      <c r="P667" s="138">
        <v>4426000</v>
      </c>
      <c r="Q667" s="138">
        <v>5226000</v>
      </c>
      <c r="R667" s="138">
        <v>6426000</v>
      </c>
      <c r="S667" s="139">
        <v>7226000</v>
      </c>
      <c r="T667" s="322">
        <f t="shared" si="117"/>
        <v>800358.4299999997</v>
      </c>
      <c r="U667" s="140">
        <f t="shared" si="118"/>
        <v>0.18084574119724739</v>
      </c>
      <c r="V667" s="322">
        <f t="shared" si="122"/>
        <v>1170000</v>
      </c>
      <c r="W667" s="140">
        <f t="shared" si="119"/>
        <v>0.28846153846153844</v>
      </c>
      <c r="X667" s="322">
        <f t="shared" si="120"/>
        <v>800000</v>
      </c>
      <c r="Y667" s="140">
        <f t="shared" si="121"/>
        <v>0.1807501129688206</v>
      </c>
      <c r="Z667" s="519">
        <v>3320000</v>
      </c>
      <c r="AA667" s="111">
        <f t="shared" si="123"/>
        <v>4426666.666666667</v>
      </c>
      <c r="AB667" s="111">
        <f t="shared" si="124"/>
        <v>-666.66666666697711</v>
      </c>
    </row>
    <row r="668" spans="1:28" ht="17.25" customHeight="1">
      <c r="A668" s="122" t="s">
        <v>1019</v>
      </c>
      <c r="B668" s="129" t="s">
        <v>999</v>
      </c>
      <c r="C668" s="107" t="s">
        <v>3194</v>
      </c>
      <c r="D668" s="107" t="s">
        <v>3185</v>
      </c>
      <c r="E668" s="534" t="s">
        <v>4361</v>
      </c>
      <c r="F668" s="580" t="s">
        <v>1020</v>
      </c>
      <c r="G668" s="555"/>
      <c r="H668" s="555"/>
      <c r="I668" s="556"/>
      <c r="J668" s="557"/>
      <c r="K668" s="558"/>
      <c r="L668" s="95"/>
      <c r="M668" s="104"/>
      <c r="N668" s="137">
        <v>0</v>
      </c>
      <c r="O668" s="138">
        <v>0</v>
      </c>
      <c r="P668" s="138">
        <v>0</v>
      </c>
      <c r="Q668" s="138">
        <v>0</v>
      </c>
      <c r="R668" s="138">
        <v>0</v>
      </c>
      <c r="S668" s="139">
        <v>0</v>
      </c>
      <c r="T668" s="322">
        <f t="shared" si="117"/>
        <v>0</v>
      </c>
      <c r="U668" s="140" t="str">
        <f t="shared" si="118"/>
        <v/>
      </c>
      <c r="V668" s="322">
        <f t="shared" si="122"/>
        <v>0</v>
      </c>
      <c r="W668" s="140" t="str">
        <f t="shared" si="119"/>
        <v/>
      </c>
      <c r="X668" s="322">
        <f t="shared" si="120"/>
        <v>0</v>
      </c>
      <c r="Y668" s="140" t="str">
        <f t="shared" si="121"/>
        <v/>
      </c>
      <c r="Z668" s="519">
        <v>0</v>
      </c>
      <c r="AA668" s="111">
        <f t="shared" si="123"/>
        <v>0</v>
      </c>
      <c r="AB668" s="111">
        <f t="shared" si="124"/>
        <v>0</v>
      </c>
    </row>
    <row r="669" spans="1:28" ht="17.25" customHeight="1">
      <c r="A669" s="121" t="s">
        <v>3324</v>
      </c>
      <c r="B669" s="128" t="s">
        <v>999</v>
      </c>
      <c r="C669" s="106" t="s">
        <v>3194</v>
      </c>
      <c r="D669" s="106" t="s">
        <v>3099</v>
      </c>
      <c r="E669" s="540" t="s">
        <v>3325</v>
      </c>
      <c r="F669" s="579" t="s">
        <v>3326</v>
      </c>
      <c r="G669" s="555" t="s">
        <v>1201</v>
      </c>
      <c r="H669" s="555" t="s">
        <v>3317</v>
      </c>
      <c r="I669" s="556" t="s">
        <v>1006</v>
      </c>
      <c r="J669" s="557" t="s">
        <v>2891</v>
      </c>
      <c r="K669" s="558" t="s">
        <v>2892</v>
      </c>
      <c r="L669" s="95"/>
      <c r="M669" s="104"/>
      <c r="N669" s="137">
        <v>0</v>
      </c>
      <c r="O669" s="138">
        <v>0</v>
      </c>
      <c r="P669" s="138">
        <v>0</v>
      </c>
      <c r="Q669" s="138">
        <v>0</v>
      </c>
      <c r="R669" s="138">
        <v>0</v>
      </c>
      <c r="S669" s="139">
        <v>0</v>
      </c>
      <c r="T669" s="322">
        <f t="shared" ref="T669:T747" si="125">IF(N669="","",Q669-N669)</f>
        <v>0</v>
      </c>
      <c r="U669" s="140" t="str">
        <f t="shared" ref="U669:U747" si="126">IF(N669=0,"",T669/N669)</f>
        <v/>
      </c>
      <c r="V669" s="322">
        <f t="shared" si="122"/>
        <v>0</v>
      </c>
      <c r="W669" s="140" t="str">
        <f t="shared" ref="W669:W747" si="127">IF(O669=0,"",V669/O669)</f>
        <v/>
      </c>
      <c r="X669" s="322">
        <f t="shared" ref="X669:X747" si="128">IF(P669="","",Q669-P669)</f>
        <v>0</v>
      </c>
      <c r="Y669" s="140" t="str">
        <f t="shared" ref="Y669:Y747" si="129">IF(P669=0,"",X669/P669)</f>
        <v/>
      </c>
      <c r="Z669" s="519">
        <v>0</v>
      </c>
      <c r="AA669" s="111">
        <f t="shared" si="123"/>
        <v>0</v>
      </c>
      <c r="AB669" s="111">
        <f t="shared" si="124"/>
        <v>0</v>
      </c>
    </row>
    <row r="670" spans="1:28" ht="17.25" customHeight="1">
      <c r="A670" s="121" t="s">
        <v>1021</v>
      </c>
      <c r="B670" s="128" t="s">
        <v>999</v>
      </c>
      <c r="C670" s="106" t="s">
        <v>3194</v>
      </c>
      <c r="D670" s="106" t="s">
        <v>3183</v>
      </c>
      <c r="E670" s="540" t="s">
        <v>3327</v>
      </c>
      <c r="F670" s="579" t="s">
        <v>3328</v>
      </c>
      <c r="G670" s="555" t="s">
        <v>1201</v>
      </c>
      <c r="H670" s="555" t="s">
        <v>3317</v>
      </c>
      <c r="I670" s="556" t="s">
        <v>1006</v>
      </c>
      <c r="J670" s="557" t="s">
        <v>2891</v>
      </c>
      <c r="K670" s="558" t="s">
        <v>2892</v>
      </c>
      <c r="L670" s="95"/>
      <c r="M670" s="104"/>
      <c r="N670" s="137">
        <v>0</v>
      </c>
      <c r="O670" s="138">
        <v>0</v>
      </c>
      <c r="P670" s="138">
        <v>0</v>
      </c>
      <c r="Q670" s="138">
        <v>0</v>
      </c>
      <c r="R670" s="138">
        <v>0</v>
      </c>
      <c r="S670" s="139">
        <v>0</v>
      </c>
      <c r="T670" s="322">
        <f t="shared" si="125"/>
        <v>0</v>
      </c>
      <c r="U670" s="140" t="str">
        <f t="shared" si="126"/>
        <v/>
      </c>
      <c r="V670" s="322">
        <f t="shared" si="122"/>
        <v>0</v>
      </c>
      <c r="W670" s="140" t="str">
        <f t="shared" si="127"/>
        <v/>
      </c>
      <c r="X670" s="322">
        <f t="shared" si="128"/>
        <v>0</v>
      </c>
      <c r="Y670" s="140" t="str">
        <f t="shared" si="129"/>
        <v/>
      </c>
      <c r="Z670" s="519">
        <v>0</v>
      </c>
      <c r="AA670" s="111">
        <f t="shared" si="123"/>
        <v>0</v>
      </c>
      <c r="AB670" s="111">
        <f t="shared" si="124"/>
        <v>0</v>
      </c>
    </row>
    <row r="671" spans="1:28" ht="36" customHeight="1">
      <c r="A671" s="121" t="s">
        <v>3329</v>
      </c>
      <c r="B671" s="128" t="s">
        <v>999</v>
      </c>
      <c r="C671" s="106" t="s">
        <v>3194</v>
      </c>
      <c r="D671" s="106" t="s">
        <v>3193</v>
      </c>
      <c r="E671" s="559" t="s">
        <v>1054</v>
      </c>
      <c r="F671" s="579" t="s">
        <v>1053</v>
      </c>
      <c r="G671" s="555" t="s">
        <v>1201</v>
      </c>
      <c r="H671" s="555" t="s">
        <v>3317</v>
      </c>
      <c r="I671" s="556" t="s">
        <v>1006</v>
      </c>
      <c r="J671" s="557" t="s">
        <v>2891</v>
      </c>
      <c r="K671" s="558" t="s">
        <v>2892</v>
      </c>
      <c r="L671" s="95"/>
      <c r="M671" s="104"/>
      <c r="N671" s="137">
        <v>5917567.6399999997</v>
      </c>
      <c r="O671" s="138">
        <v>5778000</v>
      </c>
      <c r="P671" s="138">
        <v>5918000</v>
      </c>
      <c r="Q671" s="138">
        <v>5918000</v>
      </c>
      <c r="R671" s="138">
        <v>5918000</v>
      </c>
      <c r="S671" s="139">
        <v>5918000</v>
      </c>
      <c r="T671" s="322">
        <f t="shared" si="125"/>
        <v>432.36000000033528</v>
      </c>
      <c r="U671" s="140">
        <f t="shared" si="126"/>
        <v>7.3063803627318623E-5</v>
      </c>
      <c r="V671" s="322">
        <f t="shared" si="122"/>
        <v>140000</v>
      </c>
      <c r="W671" s="140">
        <f t="shared" si="127"/>
        <v>2.4229837313949464E-2</v>
      </c>
      <c r="X671" s="322">
        <f t="shared" si="128"/>
        <v>0</v>
      </c>
      <c r="Y671" s="140">
        <f t="shared" si="129"/>
        <v>0</v>
      </c>
      <c r="Z671" s="519">
        <v>4439000</v>
      </c>
      <c r="AA671" s="111">
        <f t="shared" si="123"/>
        <v>5918666.666666667</v>
      </c>
      <c r="AB671" s="111">
        <f t="shared" si="124"/>
        <v>-666.66666666697711</v>
      </c>
    </row>
    <row r="672" spans="1:28" ht="17.25" customHeight="1">
      <c r="A672" s="113" t="s">
        <v>1022</v>
      </c>
      <c r="B672" s="135" t="s">
        <v>1023</v>
      </c>
      <c r="C672" s="136" t="s">
        <v>3184</v>
      </c>
      <c r="D672" s="136" t="s">
        <v>3185</v>
      </c>
      <c r="E672" s="529" t="s">
        <v>1025</v>
      </c>
      <c r="F672" s="529" t="s">
        <v>1024</v>
      </c>
      <c r="G672" s="530"/>
      <c r="H672" s="530"/>
      <c r="I672" s="531"/>
      <c r="J672" s="532"/>
      <c r="K672" s="533"/>
      <c r="L672" s="95"/>
      <c r="M672" s="147"/>
      <c r="N672" s="137">
        <v>0</v>
      </c>
      <c r="O672" s="138">
        <v>0</v>
      </c>
      <c r="P672" s="138">
        <v>0</v>
      </c>
      <c r="Q672" s="138">
        <v>0</v>
      </c>
      <c r="R672" s="138">
        <v>0</v>
      </c>
      <c r="S672" s="139">
        <v>0</v>
      </c>
      <c r="T672" s="322">
        <f t="shared" si="125"/>
        <v>0</v>
      </c>
      <c r="U672" s="140" t="str">
        <f t="shared" si="126"/>
        <v/>
      </c>
      <c r="V672" s="322">
        <f t="shared" si="122"/>
        <v>0</v>
      </c>
      <c r="W672" s="140" t="str">
        <f t="shared" si="127"/>
        <v/>
      </c>
      <c r="X672" s="322">
        <f t="shared" si="128"/>
        <v>0</v>
      </c>
      <c r="Y672" s="140" t="str">
        <f t="shared" si="129"/>
        <v/>
      </c>
      <c r="Z672" s="519">
        <v>0</v>
      </c>
      <c r="AA672" s="111">
        <f t="shared" si="123"/>
        <v>0</v>
      </c>
      <c r="AB672" s="111">
        <f t="shared" si="124"/>
        <v>0</v>
      </c>
    </row>
    <row r="673" spans="1:28" ht="17.25" customHeight="1">
      <c r="A673" s="122" t="s">
        <v>1026</v>
      </c>
      <c r="B673" s="129" t="s">
        <v>1023</v>
      </c>
      <c r="C673" s="107" t="s">
        <v>3186</v>
      </c>
      <c r="D673" s="107" t="s">
        <v>3185</v>
      </c>
      <c r="E673" s="554" t="s">
        <v>1028</v>
      </c>
      <c r="F673" s="580" t="s">
        <v>1027</v>
      </c>
      <c r="G673" s="555"/>
      <c r="H673" s="555"/>
      <c r="I673" s="556"/>
      <c r="J673" s="557"/>
      <c r="K673" s="558"/>
      <c r="L673" s="95"/>
      <c r="M673" s="104"/>
      <c r="N673" s="137">
        <v>0</v>
      </c>
      <c r="O673" s="138">
        <v>0</v>
      </c>
      <c r="P673" s="138">
        <v>0</v>
      </c>
      <c r="Q673" s="138">
        <v>0</v>
      </c>
      <c r="R673" s="138">
        <v>0</v>
      </c>
      <c r="S673" s="139">
        <v>0</v>
      </c>
      <c r="T673" s="322">
        <f t="shared" si="125"/>
        <v>0</v>
      </c>
      <c r="U673" s="140" t="str">
        <f t="shared" si="126"/>
        <v/>
      </c>
      <c r="V673" s="322">
        <f t="shared" si="122"/>
        <v>0</v>
      </c>
      <c r="W673" s="140" t="str">
        <f t="shared" si="127"/>
        <v/>
      </c>
      <c r="X673" s="322">
        <f t="shared" si="128"/>
        <v>0</v>
      </c>
      <c r="Y673" s="140" t="str">
        <f t="shared" si="129"/>
        <v/>
      </c>
      <c r="Z673" s="519">
        <v>0</v>
      </c>
      <c r="AA673" s="111">
        <f t="shared" si="123"/>
        <v>0</v>
      </c>
      <c r="AB673" s="111">
        <f t="shared" si="124"/>
        <v>0</v>
      </c>
    </row>
    <row r="674" spans="1:28" ht="17.25" customHeight="1">
      <c r="A674" s="121" t="s">
        <v>1029</v>
      </c>
      <c r="B674" s="128" t="s">
        <v>1023</v>
      </c>
      <c r="C674" s="106" t="s">
        <v>3186</v>
      </c>
      <c r="D674" s="106" t="s">
        <v>3183</v>
      </c>
      <c r="E674" s="559" t="s">
        <v>1028</v>
      </c>
      <c r="F674" s="579" t="s">
        <v>1027</v>
      </c>
      <c r="G674" s="555" t="s">
        <v>1207</v>
      </c>
      <c r="H674" s="512" t="s">
        <v>5004</v>
      </c>
      <c r="I674" s="556" t="s">
        <v>1030</v>
      </c>
      <c r="J674" s="557" t="s">
        <v>2893</v>
      </c>
      <c r="K674" s="558" t="s">
        <v>2894</v>
      </c>
      <c r="L674" s="95"/>
      <c r="M674" s="104"/>
      <c r="N674" s="137">
        <v>0</v>
      </c>
      <c r="O674" s="138">
        <v>0</v>
      </c>
      <c r="P674" s="138">
        <v>0</v>
      </c>
      <c r="Q674" s="138">
        <v>0</v>
      </c>
      <c r="R674" s="138">
        <v>0</v>
      </c>
      <c r="S674" s="139">
        <v>0</v>
      </c>
      <c r="T674" s="322">
        <f t="shared" si="125"/>
        <v>0</v>
      </c>
      <c r="U674" s="140" t="str">
        <f t="shared" si="126"/>
        <v/>
      </c>
      <c r="V674" s="322">
        <f t="shared" si="122"/>
        <v>0</v>
      </c>
      <c r="W674" s="140" t="str">
        <f t="shared" si="127"/>
        <v/>
      </c>
      <c r="X674" s="322">
        <f t="shared" si="128"/>
        <v>0</v>
      </c>
      <c r="Y674" s="140" t="str">
        <f t="shared" si="129"/>
        <v/>
      </c>
      <c r="Z674" s="519">
        <v>0</v>
      </c>
      <c r="AA674" s="111">
        <f t="shared" si="123"/>
        <v>0</v>
      </c>
      <c r="AB674" s="111">
        <f t="shared" si="124"/>
        <v>0</v>
      </c>
    </row>
    <row r="675" spans="1:28" ht="26.25" customHeight="1">
      <c r="A675" s="122" t="s">
        <v>1032</v>
      </c>
      <c r="B675" s="129" t="s">
        <v>1023</v>
      </c>
      <c r="C675" s="107" t="s">
        <v>3187</v>
      </c>
      <c r="D675" s="107" t="s">
        <v>3185</v>
      </c>
      <c r="E675" s="554" t="s">
        <v>1034</v>
      </c>
      <c r="F675" s="580" t="s">
        <v>1033</v>
      </c>
      <c r="G675" s="555"/>
      <c r="H675" s="555"/>
      <c r="I675" s="556"/>
      <c r="J675" s="557"/>
      <c r="K675" s="558"/>
      <c r="L675" s="95"/>
      <c r="M675" s="104"/>
      <c r="N675" s="137">
        <v>0</v>
      </c>
      <c r="O675" s="138">
        <v>0</v>
      </c>
      <c r="P675" s="138">
        <v>0</v>
      </c>
      <c r="Q675" s="138">
        <v>0</v>
      </c>
      <c r="R675" s="138">
        <v>0</v>
      </c>
      <c r="S675" s="139">
        <v>0</v>
      </c>
      <c r="T675" s="322">
        <f t="shared" si="125"/>
        <v>0</v>
      </c>
      <c r="U675" s="140" t="str">
        <f t="shared" si="126"/>
        <v/>
      </c>
      <c r="V675" s="322">
        <f t="shared" si="122"/>
        <v>0</v>
      </c>
      <c r="W675" s="140" t="str">
        <f t="shared" si="127"/>
        <v/>
      </c>
      <c r="X675" s="322">
        <f t="shared" si="128"/>
        <v>0</v>
      </c>
      <c r="Y675" s="140" t="str">
        <f t="shared" si="129"/>
        <v/>
      </c>
      <c r="Z675" s="519">
        <v>0</v>
      </c>
      <c r="AA675" s="111">
        <f t="shared" si="123"/>
        <v>0</v>
      </c>
      <c r="AB675" s="111">
        <f t="shared" si="124"/>
        <v>0</v>
      </c>
    </row>
    <row r="676" spans="1:28" ht="22.5">
      <c r="A676" s="121" t="s">
        <v>1035</v>
      </c>
      <c r="B676" s="128" t="s">
        <v>1023</v>
      </c>
      <c r="C676" s="106" t="s">
        <v>3187</v>
      </c>
      <c r="D676" s="106" t="s">
        <v>3183</v>
      </c>
      <c r="E676" s="559" t="s">
        <v>1034</v>
      </c>
      <c r="F676" s="579" t="s">
        <v>1033</v>
      </c>
      <c r="G676" s="555" t="s">
        <v>1208</v>
      </c>
      <c r="H676" s="512" t="s">
        <v>5005</v>
      </c>
      <c r="I676" s="556" t="s">
        <v>1036</v>
      </c>
      <c r="J676" s="557" t="s">
        <v>2895</v>
      </c>
      <c r="K676" s="558" t="s">
        <v>1036</v>
      </c>
      <c r="L676" s="95"/>
      <c r="M676" s="104"/>
      <c r="N676" s="137">
        <v>0</v>
      </c>
      <c r="O676" s="138">
        <v>0</v>
      </c>
      <c r="P676" s="138">
        <v>0</v>
      </c>
      <c r="Q676" s="138">
        <v>0</v>
      </c>
      <c r="R676" s="138">
        <v>0</v>
      </c>
      <c r="S676" s="139">
        <v>0</v>
      </c>
      <c r="T676" s="322">
        <f t="shared" si="125"/>
        <v>0</v>
      </c>
      <c r="U676" s="140" t="str">
        <f t="shared" si="126"/>
        <v/>
      </c>
      <c r="V676" s="322">
        <f t="shared" si="122"/>
        <v>0</v>
      </c>
      <c r="W676" s="140" t="str">
        <f t="shared" si="127"/>
        <v/>
      </c>
      <c r="X676" s="322">
        <f t="shared" si="128"/>
        <v>0</v>
      </c>
      <c r="Y676" s="140" t="str">
        <f t="shared" si="129"/>
        <v/>
      </c>
      <c r="Z676" s="519">
        <v>0</v>
      </c>
      <c r="AA676" s="111">
        <f t="shared" si="123"/>
        <v>0</v>
      </c>
      <c r="AB676" s="111">
        <f t="shared" si="124"/>
        <v>0</v>
      </c>
    </row>
    <row r="677" spans="1:28" ht="17.25" customHeight="1">
      <c r="A677" s="122" t="s">
        <v>1037</v>
      </c>
      <c r="B677" s="129" t="s">
        <v>1023</v>
      </c>
      <c r="C677" s="107" t="s">
        <v>3189</v>
      </c>
      <c r="D677" s="107" t="s">
        <v>3185</v>
      </c>
      <c r="E677" s="554" t="s">
        <v>1039</v>
      </c>
      <c r="F677" s="580" t="s">
        <v>1038</v>
      </c>
      <c r="G677" s="555"/>
      <c r="H677" s="555"/>
      <c r="I677" s="556"/>
      <c r="J677" s="557"/>
      <c r="K677" s="558"/>
      <c r="L677" s="95"/>
      <c r="M677" s="104"/>
      <c r="N677" s="137">
        <v>0</v>
      </c>
      <c r="O677" s="138">
        <v>0</v>
      </c>
      <c r="P677" s="138">
        <v>0</v>
      </c>
      <c r="Q677" s="138">
        <v>0</v>
      </c>
      <c r="R677" s="138">
        <v>0</v>
      </c>
      <c r="S677" s="139">
        <v>0</v>
      </c>
      <c r="T677" s="322">
        <f t="shared" si="125"/>
        <v>0</v>
      </c>
      <c r="U677" s="140" t="str">
        <f t="shared" si="126"/>
        <v/>
      </c>
      <c r="V677" s="322">
        <f t="shared" si="122"/>
        <v>0</v>
      </c>
      <c r="W677" s="140" t="str">
        <f t="shared" si="127"/>
        <v/>
      </c>
      <c r="X677" s="322">
        <f t="shared" si="128"/>
        <v>0</v>
      </c>
      <c r="Y677" s="140" t="str">
        <f t="shared" si="129"/>
        <v/>
      </c>
      <c r="Z677" s="519">
        <v>0</v>
      </c>
      <c r="AA677" s="111">
        <f t="shared" si="123"/>
        <v>0</v>
      </c>
      <c r="AB677" s="111">
        <f t="shared" si="124"/>
        <v>0</v>
      </c>
    </row>
    <row r="678" spans="1:28" ht="17.25" customHeight="1">
      <c r="A678" s="121" t="s">
        <v>1040</v>
      </c>
      <c r="B678" s="128" t="s">
        <v>1023</v>
      </c>
      <c r="C678" s="106" t="s">
        <v>3189</v>
      </c>
      <c r="D678" s="106" t="s">
        <v>3183</v>
      </c>
      <c r="E678" s="559" t="s">
        <v>1039</v>
      </c>
      <c r="F678" s="579" t="s">
        <v>1038</v>
      </c>
      <c r="G678" s="555" t="s">
        <v>1208</v>
      </c>
      <c r="H678" s="512" t="s">
        <v>5005</v>
      </c>
      <c r="I678" s="556" t="s">
        <v>1036</v>
      </c>
      <c r="J678" s="557" t="s">
        <v>2895</v>
      </c>
      <c r="K678" s="558" t="s">
        <v>1036</v>
      </c>
      <c r="L678" s="95"/>
      <c r="M678" s="104"/>
      <c r="N678" s="137">
        <v>9513497.25</v>
      </c>
      <c r="O678" s="138">
        <v>8667000</v>
      </c>
      <c r="P678" s="138">
        <v>9514000</v>
      </c>
      <c r="Q678" s="138">
        <v>9514000</v>
      </c>
      <c r="R678" s="138">
        <v>9514000</v>
      </c>
      <c r="S678" s="139">
        <v>9514000</v>
      </c>
      <c r="T678" s="322">
        <f t="shared" si="125"/>
        <v>502.75</v>
      </c>
      <c r="U678" s="140">
        <f t="shared" si="126"/>
        <v>5.284597102290643E-5</v>
      </c>
      <c r="V678" s="322">
        <f t="shared" si="122"/>
        <v>847000</v>
      </c>
      <c r="W678" s="140">
        <f t="shared" si="127"/>
        <v>9.7727010499596173E-2</v>
      </c>
      <c r="X678" s="322">
        <f t="shared" si="128"/>
        <v>0</v>
      </c>
      <c r="Y678" s="140">
        <f t="shared" si="129"/>
        <v>0</v>
      </c>
      <c r="Z678" s="519">
        <v>7136000</v>
      </c>
      <c r="AA678" s="111">
        <f t="shared" si="123"/>
        <v>9514666.666666666</v>
      </c>
      <c r="AB678" s="111">
        <f t="shared" si="124"/>
        <v>-666.66666666604578</v>
      </c>
    </row>
    <row r="679" spans="1:28" ht="26.25" customHeight="1">
      <c r="A679" s="122" t="s">
        <v>1041</v>
      </c>
      <c r="B679" s="129" t="s">
        <v>1023</v>
      </c>
      <c r="C679" s="107" t="s">
        <v>3190</v>
      </c>
      <c r="D679" s="107" t="s">
        <v>3185</v>
      </c>
      <c r="E679" s="554" t="s">
        <v>1043</v>
      </c>
      <c r="F679" s="580" t="s">
        <v>1042</v>
      </c>
      <c r="G679" s="555"/>
      <c r="H679" s="555"/>
      <c r="I679" s="556"/>
      <c r="J679" s="557"/>
      <c r="K679" s="558"/>
      <c r="L679" s="95"/>
      <c r="M679" s="104"/>
      <c r="N679" s="137">
        <v>0</v>
      </c>
      <c r="O679" s="138">
        <v>0</v>
      </c>
      <c r="P679" s="138">
        <v>0</v>
      </c>
      <c r="Q679" s="138">
        <v>0</v>
      </c>
      <c r="R679" s="138">
        <v>0</v>
      </c>
      <c r="S679" s="139">
        <v>0</v>
      </c>
      <c r="T679" s="322">
        <f t="shared" si="125"/>
        <v>0</v>
      </c>
      <c r="U679" s="140" t="str">
        <f t="shared" si="126"/>
        <v/>
      </c>
      <c r="V679" s="322">
        <f t="shared" si="122"/>
        <v>0</v>
      </c>
      <c r="W679" s="140" t="str">
        <f t="shared" si="127"/>
        <v/>
      </c>
      <c r="X679" s="322">
        <f t="shared" si="128"/>
        <v>0</v>
      </c>
      <c r="Y679" s="140" t="str">
        <f t="shared" si="129"/>
        <v/>
      </c>
      <c r="Z679" s="519">
        <v>0</v>
      </c>
      <c r="AA679" s="111">
        <f t="shared" si="123"/>
        <v>0</v>
      </c>
      <c r="AB679" s="111">
        <f t="shared" si="124"/>
        <v>0</v>
      </c>
    </row>
    <row r="680" spans="1:28" ht="17.25" customHeight="1">
      <c r="A680" s="121" t="s">
        <v>1044</v>
      </c>
      <c r="B680" s="128" t="s">
        <v>1023</v>
      </c>
      <c r="C680" s="106" t="s">
        <v>3190</v>
      </c>
      <c r="D680" s="106" t="s">
        <v>3183</v>
      </c>
      <c r="E680" s="559" t="s">
        <v>1043</v>
      </c>
      <c r="F680" s="579" t="s">
        <v>1042</v>
      </c>
      <c r="G680" s="555" t="s">
        <v>1208</v>
      </c>
      <c r="H680" s="512" t="s">
        <v>5005</v>
      </c>
      <c r="I680" s="556" t="s">
        <v>1036</v>
      </c>
      <c r="J680" s="557" t="s">
        <v>2895</v>
      </c>
      <c r="K680" s="558" t="s">
        <v>1036</v>
      </c>
      <c r="L680" s="95"/>
      <c r="M680" s="104"/>
      <c r="N680" s="137">
        <v>1964367.58</v>
      </c>
      <c r="O680" s="138">
        <v>2270000</v>
      </c>
      <c r="P680" s="138">
        <v>1964000</v>
      </c>
      <c r="Q680" s="138">
        <v>1964000</v>
      </c>
      <c r="R680" s="138">
        <v>1964000</v>
      </c>
      <c r="S680" s="139">
        <v>1964000</v>
      </c>
      <c r="T680" s="322">
        <f t="shared" si="125"/>
        <v>-367.58000000007451</v>
      </c>
      <c r="U680" s="140">
        <f t="shared" si="126"/>
        <v>-1.8712383758648393E-4</v>
      </c>
      <c r="V680" s="322">
        <f t="shared" si="122"/>
        <v>-306000</v>
      </c>
      <c r="W680" s="140">
        <f t="shared" si="127"/>
        <v>-0.13480176211453745</v>
      </c>
      <c r="X680" s="322">
        <f t="shared" si="128"/>
        <v>0</v>
      </c>
      <c r="Y680" s="140">
        <f t="shared" si="129"/>
        <v>0</v>
      </c>
      <c r="Z680" s="519">
        <v>1473000</v>
      </c>
      <c r="AA680" s="111">
        <f t="shared" si="123"/>
        <v>1964000</v>
      </c>
      <c r="AB680" s="111">
        <f t="shared" si="124"/>
        <v>0</v>
      </c>
    </row>
    <row r="681" spans="1:28" ht="17.25" customHeight="1">
      <c r="A681" s="122" t="s">
        <v>1045</v>
      </c>
      <c r="B681" s="129" t="s">
        <v>1023</v>
      </c>
      <c r="C681" s="107" t="s">
        <v>3191</v>
      </c>
      <c r="D681" s="107" t="s">
        <v>3185</v>
      </c>
      <c r="E681" s="554" t="s">
        <v>1047</v>
      </c>
      <c r="F681" s="580" t="s">
        <v>1046</v>
      </c>
      <c r="G681" s="555"/>
      <c r="H681" s="555"/>
      <c r="I681" s="556"/>
      <c r="J681" s="557"/>
      <c r="K681" s="558"/>
      <c r="L681" s="95"/>
      <c r="M681" s="104"/>
      <c r="N681" s="137">
        <v>0</v>
      </c>
      <c r="O681" s="138">
        <v>0</v>
      </c>
      <c r="P681" s="138">
        <v>0</v>
      </c>
      <c r="Q681" s="138">
        <v>0</v>
      </c>
      <c r="R681" s="138">
        <v>0</v>
      </c>
      <c r="S681" s="139">
        <v>0</v>
      </c>
      <c r="T681" s="322">
        <f t="shared" si="125"/>
        <v>0</v>
      </c>
      <c r="U681" s="140" t="str">
        <f t="shared" si="126"/>
        <v/>
      </c>
      <c r="V681" s="322">
        <f t="shared" si="122"/>
        <v>0</v>
      </c>
      <c r="W681" s="140" t="str">
        <f t="shared" si="127"/>
        <v/>
      </c>
      <c r="X681" s="322">
        <f t="shared" si="128"/>
        <v>0</v>
      </c>
      <c r="Y681" s="140" t="str">
        <f t="shared" si="129"/>
        <v/>
      </c>
      <c r="Z681" s="519">
        <v>0</v>
      </c>
      <c r="AA681" s="111">
        <f t="shared" si="123"/>
        <v>0</v>
      </c>
      <c r="AB681" s="111">
        <f t="shared" si="124"/>
        <v>0</v>
      </c>
    </row>
    <row r="682" spans="1:28" ht="17.25" customHeight="1">
      <c r="A682" s="121" t="s">
        <v>1048</v>
      </c>
      <c r="B682" s="128" t="s">
        <v>1023</v>
      </c>
      <c r="C682" s="106" t="s">
        <v>3191</v>
      </c>
      <c r="D682" s="106" t="s">
        <v>3183</v>
      </c>
      <c r="E682" s="559" t="s">
        <v>1047</v>
      </c>
      <c r="F682" s="579" t="s">
        <v>1046</v>
      </c>
      <c r="G682" s="555" t="s">
        <v>1208</v>
      </c>
      <c r="H682" s="512" t="s">
        <v>5005</v>
      </c>
      <c r="I682" s="556" t="s">
        <v>1036</v>
      </c>
      <c r="J682" s="557" t="s">
        <v>2895</v>
      </c>
      <c r="K682" s="558" t="s">
        <v>1036</v>
      </c>
      <c r="L682" s="95"/>
      <c r="M682" s="104"/>
      <c r="N682" s="137">
        <v>392162.85</v>
      </c>
      <c r="O682" s="138">
        <v>355000</v>
      </c>
      <c r="P682" s="138">
        <v>392000</v>
      </c>
      <c r="Q682" s="138">
        <v>392000</v>
      </c>
      <c r="R682" s="138">
        <v>392000</v>
      </c>
      <c r="S682" s="139">
        <v>392000</v>
      </c>
      <c r="T682" s="322">
        <f t="shared" si="125"/>
        <v>-162.84999999997672</v>
      </c>
      <c r="U682" s="140">
        <f t="shared" si="126"/>
        <v>-4.1526116000018036E-4</v>
      </c>
      <c r="V682" s="322">
        <f t="shared" si="122"/>
        <v>37000</v>
      </c>
      <c r="W682" s="140">
        <f t="shared" si="127"/>
        <v>0.10422535211267606</v>
      </c>
      <c r="X682" s="322">
        <f t="shared" si="128"/>
        <v>0</v>
      </c>
      <c r="Y682" s="140">
        <f t="shared" si="129"/>
        <v>0</v>
      </c>
      <c r="Z682" s="519">
        <v>294000</v>
      </c>
      <c r="AA682" s="111">
        <f t="shared" si="123"/>
        <v>392000</v>
      </c>
      <c r="AB682" s="111">
        <f t="shared" si="124"/>
        <v>0</v>
      </c>
    </row>
    <row r="683" spans="1:28" ht="17.25" customHeight="1">
      <c r="A683" s="122" t="s">
        <v>1049</v>
      </c>
      <c r="B683" s="129" t="s">
        <v>1023</v>
      </c>
      <c r="C683" s="107" t="s">
        <v>2139</v>
      </c>
      <c r="D683" s="107" t="s">
        <v>3185</v>
      </c>
      <c r="E683" s="554" t="s">
        <v>1051</v>
      </c>
      <c r="F683" s="580" t="s">
        <v>1050</v>
      </c>
      <c r="G683" s="555"/>
      <c r="H683" s="555"/>
      <c r="I683" s="556"/>
      <c r="J683" s="557"/>
      <c r="K683" s="558"/>
      <c r="L683" s="95"/>
      <c r="M683" s="104"/>
      <c r="N683" s="137">
        <v>0</v>
      </c>
      <c r="O683" s="138">
        <v>0</v>
      </c>
      <c r="P683" s="138">
        <v>0</v>
      </c>
      <c r="Q683" s="138">
        <v>0</v>
      </c>
      <c r="R683" s="138">
        <v>0</v>
      </c>
      <c r="S683" s="139">
        <v>0</v>
      </c>
      <c r="T683" s="322">
        <f t="shared" si="125"/>
        <v>0</v>
      </c>
      <c r="U683" s="140" t="str">
        <f t="shared" si="126"/>
        <v/>
      </c>
      <c r="V683" s="322">
        <f t="shared" si="122"/>
        <v>0</v>
      </c>
      <c r="W683" s="140" t="str">
        <f t="shared" si="127"/>
        <v/>
      </c>
      <c r="X683" s="322">
        <f t="shared" si="128"/>
        <v>0</v>
      </c>
      <c r="Y683" s="140" t="str">
        <f t="shared" si="129"/>
        <v/>
      </c>
      <c r="Z683" s="519">
        <v>0</v>
      </c>
      <c r="AA683" s="111">
        <f t="shared" si="123"/>
        <v>0</v>
      </c>
      <c r="AB683" s="111">
        <f t="shared" si="124"/>
        <v>0</v>
      </c>
    </row>
    <row r="684" spans="1:28" ht="17.25" customHeight="1">
      <c r="A684" s="121" t="s">
        <v>1052</v>
      </c>
      <c r="B684" s="128" t="s">
        <v>1023</v>
      </c>
      <c r="C684" s="106" t="s">
        <v>2139</v>
      </c>
      <c r="D684" s="106" t="s">
        <v>3183</v>
      </c>
      <c r="E684" s="559" t="s">
        <v>1051</v>
      </c>
      <c r="F684" s="579" t="s">
        <v>1050</v>
      </c>
      <c r="G684" s="555" t="s">
        <v>1208</v>
      </c>
      <c r="H684" s="512" t="s">
        <v>5005</v>
      </c>
      <c r="I684" s="556" t="s">
        <v>1036</v>
      </c>
      <c r="J684" s="557" t="s">
        <v>2895</v>
      </c>
      <c r="K684" s="558" t="s">
        <v>1036</v>
      </c>
      <c r="L684" s="95"/>
      <c r="M684" s="104"/>
      <c r="N684" s="137">
        <v>3849635.11</v>
      </c>
      <c r="O684" s="138">
        <v>2223000</v>
      </c>
      <c r="P684" s="138">
        <v>3850000</v>
      </c>
      <c r="Q684" s="138">
        <v>3850000</v>
      </c>
      <c r="R684" s="138">
        <v>3850000</v>
      </c>
      <c r="S684" s="139">
        <v>3850000</v>
      </c>
      <c r="T684" s="322">
        <f t="shared" si="125"/>
        <v>364.89000000013039</v>
      </c>
      <c r="U684" s="140">
        <f t="shared" si="126"/>
        <v>9.4785606836417902E-5</v>
      </c>
      <c r="V684" s="322">
        <f t="shared" si="122"/>
        <v>1627000</v>
      </c>
      <c r="W684" s="140">
        <f t="shared" si="127"/>
        <v>0.73189383715699508</v>
      </c>
      <c r="X684" s="322">
        <f t="shared" si="128"/>
        <v>0</v>
      </c>
      <c r="Y684" s="140">
        <f t="shared" si="129"/>
        <v>0</v>
      </c>
      <c r="Z684" s="519">
        <v>2888000</v>
      </c>
      <c r="AA684" s="111">
        <f t="shared" si="123"/>
        <v>3850666.6666666665</v>
      </c>
      <c r="AB684" s="111">
        <f t="shared" si="124"/>
        <v>-666.66666666651145</v>
      </c>
    </row>
    <row r="685" spans="1:28" ht="26.25" customHeight="1">
      <c r="A685" s="113" t="s">
        <v>1055</v>
      </c>
      <c r="B685" s="135" t="s">
        <v>1056</v>
      </c>
      <c r="C685" s="136" t="s">
        <v>3184</v>
      </c>
      <c r="D685" s="136" t="s">
        <v>3185</v>
      </c>
      <c r="E685" s="529" t="s">
        <v>1058</v>
      </c>
      <c r="F685" s="529" t="s">
        <v>1057</v>
      </c>
      <c r="G685" s="530"/>
      <c r="H685" s="530"/>
      <c r="I685" s="531"/>
      <c r="J685" s="532"/>
      <c r="K685" s="533"/>
      <c r="L685" s="95"/>
      <c r="M685" s="147"/>
      <c r="N685" s="137">
        <v>0</v>
      </c>
      <c r="O685" s="138">
        <v>0</v>
      </c>
      <c r="P685" s="138">
        <v>0</v>
      </c>
      <c r="Q685" s="138">
        <v>0</v>
      </c>
      <c r="R685" s="138">
        <v>0</v>
      </c>
      <c r="S685" s="139">
        <v>0</v>
      </c>
      <c r="T685" s="322">
        <f t="shared" si="125"/>
        <v>0</v>
      </c>
      <c r="U685" s="140" t="str">
        <f t="shared" si="126"/>
        <v/>
      </c>
      <c r="V685" s="322">
        <f t="shared" si="122"/>
        <v>0</v>
      </c>
      <c r="W685" s="140" t="str">
        <f t="shared" si="127"/>
        <v/>
      </c>
      <c r="X685" s="322">
        <f t="shared" si="128"/>
        <v>0</v>
      </c>
      <c r="Y685" s="140" t="str">
        <f t="shared" si="129"/>
        <v/>
      </c>
      <c r="Z685" s="519">
        <v>0</v>
      </c>
      <c r="AA685" s="111">
        <f t="shared" si="123"/>
        <v>0</v>
      </c>
      <c r="AB685" s="111">
        <f t="shared" si="124"/>
        <v>0</v>
      </c>
    </row>
    <row r="686" spans="1:28" ht="26.25" customHeight="1">
      <c r="A686" s="122" t="s">
        <v>1059</v>
      </c>
      <c r="B686" s="129" t="s">
        <v>1056</v>
      </c>
      <c r="C686" s="107" t="s">
        <v>3186</v>
      </c>
      <c r="D686" s="107" t="s">
        <v>3185</v>
      </c>
      <c r="E686" s="578" t="s">
        <v>1061</v>
      </c>
      <c r="F686" s="580" t="s">
        <v>1060</v>
      </c>
      <c r="G686" s="555"/>
      <c r="H686" s="555"/>
      <c r="I686" s="556"/>
      <c r="J686" s="557"/>
      <c r="K686" s="558"/>
      <c r="L686" s="95"/>
      <c r="M686" s="104"/>
      <c r="N686" s="137">
        <v>0</v>
      </c>
      <c r="O686" s="138">
        <v>0</v>
      </c>
      <c r="P686" s="138">
        <v>0</v>
      </c>
      <c r="Q686" s="138">
        <v>0</v>
      </c>
      <c r="R686" s="138">
        <v>0</v>
      </c>
      <c r="S686" s="139">
        <v>0</v>
      </c>
      <c r="T686" s="322">
        <f t="shared" si="125"/>
        <v>0</v>
      </c>
      <c r="U686" s="140" t="str">
        <f t="shared" si="126"/>
        <v/>
      </c>
      <c r="V686" s="322">
        <f t="shared" si="122"/>
        <v>0</v>
      </c>
      <c r="W686" s="140" t="str">
        <f t="shared" si="127"/>
        <v/>
      </c>
      <c r="X686" s="322">
        <f t="shared" si="128"/>
        <v>0</v>
      </c>
      <c r="Y686" s="140" t="str">
        <f t="shared" si="129"/>
        <v/>
      </c>
      <c r="Z686" s="519">
        <v>0</v>
      </c>
      <c r="AA686" s="111">
        <f t="shared" si="123"/>
        <v>0</v>
      </c>
      <c r="AB686" s="111">
        <f t="shared" si="124"/>
        <v>0</v>
      </c>
    </row>
    <row r="687" spans="1:28" ht="26.25" customHeight="1">
      <c r="A687" s="121" t="s">
        <v>1062</v>
      </c>
      <c r="B687" s="128" t="s">
        <v>1056</v>
      </c>
      <c r="C687" s="106" t="s">
        <v>3186</v>
      </c>
      <c r="D687" s="106" t="s">
        <v>3183</v>
      </c>
      <c r="E687" s="581" t="s">
        <v>1061</v>
      </c>
      <c r="F687" s="579" t="s">
        <v>1060</v>
      </c>
      <c r="G687" s="555" t="s">
        <v>116</v>
      </c>
      <c r="H687" s="512" t="s">
        <v>5006</v>
      </c>
      <c r="I687" s="556" t="s">
        <v>3331</v>
      </c>
      <c r="J687" s="557" t="s">
        <v>1073</v>
      </c>
      <c r="K687" s="558" t="s">
        <v>2896</v>
      </c>
      <c r="L687" s="95"/>
      <c r="M687" s="104"/>
      <c r="N687" s="137">
        <v>0</v>
      </c>
      <c r="O687" s="138">
        <v>0</v>
      </c>
      <c r="P687" s="138">
        <v>0</v>
      </c>
      <c r="Q687" s="138">
        <v>0</v>
      </c>
      <c r="R687" s="138">
        <v>0</v>
      </c>
      <c r="S687" s="139">
        <v>0</v>
      </c>
      <c r="T687" s="322">
        <f t="shared" si="125"/>
        <v>0</v>
      </c>
      <c r="U687" s="140" t="str">
        <f t="shared" si="126"/>
        <v/>
      </c>
      <c r="V687" s="322">
        <f t="shared" si="122"/>
        <v>0</v>
      </c>
      <c r="W687" s="140" t="str">
        <f t="shared" si="127"/>
        <v/>
      </c>
      <c r="X687" s="322">
        <f t="shared" si="128"/>
        <v>0</v>
      </c>
      <c r="Y687" s="140" t="str">
        <f t="shared" si="129"/>
        <v/>
      </c>
      <c r="Z687" s="519">
        <v>0</v>
      </c>
      <c r="AA687" s="111">
        <f t="shared" si="123"/>
        <v>0</v>
      </c>
      <c r="AB687" s="111">
        <f t="shared" si="124"/>
        <v>0</v>
      </c>
    </row>
    <row r="688" spans="1:28" ht="26.25" customHeight="1">
      <c r="A688" s="122" t="s">
        <v>1064</v>
      </c>
      <c r="B688" s="129" t="s">
        <v>1056</v>
      </c>
      <c r="C688" s="107" t="s">
        <v>3187</v>
      </c>
      <c r="D688" s="107" t="s">
        <v>3185</v>
      </c>
      <c r="E688" s="578" t="s">
        <v>1066</v>
      </c>
      <c r="F688" s="578" t="s">
        <v>1065</v>
      </c>
      <c r="G688" s="555"/>
      <c r="H688" s="555"/>
      <c r="I688" s="556"/>
      <c r="J688" s="557"/>
      <c r="K688" s="558"/>
      <c r="L688" s="95"/>
      <c r="M688" s="104"/>
      <c r="N688" s="137">
        <v>0</v>
      </c>
      <c r="O688" s="138">
        <v>0</v>
      </c>
      <c r="P688" s="138">
        <v>0</v>
      </c>
      <c r="Q688" s="138">
        <v>0</v>
      </c>
      <c r="R688" s="138">
        <v>0</v>
      </c>
      <c r="S688" s="139">
        <v>0</v>
      </c>
      <c r="T688" s="322">
        <f t="shared" si="125"/>
        <v>0</v>
      </c>
      <c r="U688" s="140" t="str">
        <f t="shared" si="126"/>
        <v/>
      </c>
      <c r="V688" s="322">
        <f t="shared" si="122"/>
        <v>0</v>
      </c>
      <c r="W688" s="140" t="str">
        <f t="shared" si="127"/>
        <v/>
      </c>
      <c r="X688" s="322">
        <f t="shared" si="128"/>
        <v>0</v>
      </c>
      <c r="Y688" s="140" t="str">
        <f t="shared" si="129"/>
        <v/>
      </c>
      <c r="Z688" s="519">
        <v>0</v>
      </c>
      <c r="AA688" s="111">
        <f t="shared" si="123"/>
        <v>0</v>
      </c>
      <c r="AB688" s="111">
        <f t="shared" si="124"/>
        <v>0</v>
      </c>
    </row>
    <row r="689" spans="1:28" ht="18" customHeight="1">
      <c r="A689" s="121" t="s">
        <v>1067</v>
      </c>
      <c r="B689" s="128" t="s">
        <v>1056</v>
      </c>
      <c r="C689" s="106" t="s">
        <v>3187</v>
      </c>
      <c r="D689" s="106" t="s">
        <v>3183</v>
      </c>
      <c r="E689" s="581" t="s">
        <v>1066</v>
      </c>
      <c r="F689" s="581" t="s">
        <v>1065</v>
      </c>
      <c r="G689" s="555" t="s">
        <v>116</v>
      </c>
      <c r="H689" s="512" t="s">
        <v>5006</v>
      </c>
      <c r="I689" s="556" t="s">
        <v>3331</v>
      </c>
      <c r="J689" s="557" t="s">
        <v>1073</v>
      </c>
      <c r="K689" s="558" t="s">
        <v>2896</v>
      </c>
      <c r="L689" s="95"/>
      <c r="M689" s="104"/>
      <c r="N689" s="137">
        <v>0</v>
      </c>
      <c r="O689" s="138">
        <v>0</v>
      </c>
      <c r="P689" s="138">
        <v>0</v>
      </c>
      <c r="Q689" s="138">
        <v>0</v>
      </c>
      <c r="R689" s="138">
        <v>0</v>
      </c>
      <c r="S689" s="139">
        <v>0</v>
      </c>
      <c r="T689" s="322">
        <f t="shared" si="125"/>
        <v>0</v>
      </c>
      <c r="U689" s="140" t="str">
        <f t="shared" si="126"/>
        <v/>
      </c>
      <c r="V689" s="322">
        <f t="shared" si="122"/>
        <v>0</v>
      </c>
      <c r="W689" s="140" t="str">
        <f t="shared" si="127"/>
        <v/>
      </c>
      <c r="X689" s="322">
        <f t="shared" si="128"/>
        <v>0</v>
      </c>
      <c r="Y689" s="140" t="str">
        <f t="shared" si="129"/>
        <v/>
      </c>
      <c r="Z689" s="519">
        <v>0</v>
      </c>
      <c r="AA689" s="111">
        <f t="shared" si="123"/>
        <v>0</v>
      </c>
      <c r="AB689" s="111">
        <f t="shared" si="124"/>
        <v>0</v>
      </c>
    </row>
    <row r="690" spans="1:28" ht="21">
      <c r="A690" s="113" t="s">
        <v>1068</v>
      </c>
      <c r="B690" s="135" t="s">
        <v>1069</v>
      </c>
      <c r="C690" s="136" t="s">
        <v>3184</v>
      </c>
      <c r="D690" s="136" t="s">
        <v>3185</v>
      </c>
      <c r="E690" s="529" t="s">
        <v>188</v>
      </c>
      <c r="F690" s="529" t="s">
        <v>187</v>
      </c>
      <c r="G690" s="530"/>
      <c r="H690" s="530"/>
      <c r="I690" s="531"/>
      <c r="J690" s="532"/>
      <c r="K690" s="533"/>
      <c r="L690" s="95"/>
      <c r="M690" s="147"/>
      <c r="N690" s="137">
        <v>0</v>
      </c>
      <c r="O690" s="138">
        <v>0</v>
      </c>
      <c r="P690" s="138">
        <v>0</v>
      </c>
      <c r="Q690" s="138">
        <v>0</v>
      </c>
      <c r="R690" s="138">
        <v>0</v>
      </c>
      <c r="S690" s="139">
        <v>0</v>
      </c>
      <c r="T690" s="322">
        <f t="shared" si="125"/>
        <v>0</v>
      </c>
      <c r="U690" s="140" t="str">
        <f t="shared" si="126"/>
        <v/>
      </c>
      <c r="V690" s="322">
        <f t="shared" si="122"/>
        <v>0</v>
      </c>
      <c r="W690" s="140" t="str">
        <f t="shared" si="127"/>
        <v/>
      </c>
      <c r="X690" s="322">
        <f t="shared" si="128"/>
        <v>0</v>
      </c>
      <c r="Y690" s="140" t="str">
        <f t="shared" si="129"/>
        <v/>
      </c>
      <c r="Z690" s="519">
        <v>0</v>
      </c>
      <c r="AA690" s="111">
        <f t="shared" si="123"/>
        <v>0</v>
      </c>
      <c r="AB690" s="111">
        <f t="shared" si="124"/>
        <v>0</v>
      </c>
    </row>
    <row r="691" spans="1:28" ht="26.25" customHeight="1">
      <c r="A691" s="122" t="s">
        <v>189</v>
      </c>
      <c r="B691" s="129" t="s">
        <v>1069</v>
      </c>
      <c r="C691" s="107" t="s">
        <v>3186</v>
      </c>
      <c r="D691" s="107" t="s">
        <v>3185</v>
      </c>
      <c r="E691" s="554" t="s">
        <v>190</v>
      </c>
      <c r="F691" s="580" t="s">
        <v>5334</v>
      </c>
      <c r="G691" s="555"/>
      <c r="H691" s="555"/>
      <c r="I691" s="556"/>
      <c r="J691" s="557"/>
      <c r="K691" s="558"/>
      <c r="L691" s="95"/>
      <c r="M691" s="104"/>
      <c r="N691" s="137">
        <v>0</v>
      </c>
      <c r="O691" s="138">
        <v>0</v>
      </c>
      <c r="P691" s="138">
        <v>0</v>
      </c>
      <c r="Q691" s="138">
        <v>0</v>
      </c>
      <c r="R691" s="138">
        <v>0</v>
      </c>
      <c r="S691" s="139">
        <v>0</v>
      </c>
      <c r="T691" s="322">
        <f t="shared" si="125"/>
        <v>0</v>
      </c>
      <c r="U691" s="140" t="str">
        <f t="shared" si="126"/>
        <v/>
      </c>
      <c r="V691" s="322">
        <f t="shared" si="122"/>
        <v>0</v>
      </c>
      <c r="W691" s="140" t="str">
        <f t="shared" si="127"/>
        <v/>
      </c>
      <c r="X691" s="322">
        <f t="shared" si="128"/>
        <v>0</v>
      </c>
      <c r="Y691" s="140" t="str">
        <f t="shared" si="129"/>
        <v/>
      </c>
      <c r="Z691" s="519">
        <v>0</v>
      </c>
      <c r="AA691" s="111">
        <f t="shared" si="123"/>
        <v>0</v>
      </c>
      <c r="AB691" s="111">
        <f t="shared" si="124"/>
        <v>0</v>
      </c>
    </row>
    <row r="692" spans="1:28" ht="26.25" customHeight="1">
      <c r="A692" s="121" t="s">
        <v>191</v>
      </c>
      <c r="B692" s="313" t="s">
        <v>1069</v>
      </c>
      <c r="C692" s="314" t="s">
        <v>3186</v>
      </c>
      <c r="D692" s="314" t="s">
        <v>3183</v>
      </c>
      <c r="E692" s="563" t="s">
        <v>193</v>
      </c>
      <c r="F692" s="582" t="s">
        <v>192</v>
      </c>
      <c r="G692" s="564" t="s">
        <v>119</v>
      </c>
      <c r="H692" s="564" t="s">
        <v>3332</v>
      </c>
      <c r="I692" s="565" t="s">
        <v>194</v>
      </c>
      <c r="J692" s="566" t="s">
        <v>2898</v>
      </c>
      <c r="K692" s="567" t="s">
        <v>2899</v>
      </c>
      <c r="L692" s="95"/>
      <c r="M692" s="104"/>
      <c r="N692" s="137">
        <v>149167.82999999999</v>
      </c>
      <c r="O692" s="138">
        <v>110000</v>
      </c>
      <c r="P692" s="138">
        <v>0</v>
      </c>
      <c r="Q692" s="138">
        <v>0</v>
      </c>
      <c r="R692" s="138">
        <v>0</v>
      </c>
      <c r="S692" s="139">
        <v>0</v>
      </c>
      <c r="T692" s="322">
        <f t="shared" si="125"/>
        <v>-149167.82999999999</v>
      </c>
      <c r="U692" s="140">
        <f t="shared" si="126"/>
        <v>-1</v>
      </c>
      <c r="V692" s="322">
        <f t="shared" si="122"/>
        <v>-110000</v>
      </c>
      <c r="W692" s="140">
        <f t="shared" si="127"/>
        <v>-1</v>
      </c>
      <c r="X692" s="322">
        <f t="shared" si="128"/>
        <v>0</v>
      </c>
      <c r="Y692" s="140" t="str">
        <f t="shared" si="129"/>
        <v/>
      </c>
      <c r="Z692" s="519">
        <v>0</v>
      </c>
      <c r="AA692" s="111">
        <f t="shared" si="123"/>
        <v>0</v>
      </c>
      <c r="AB692" s="522">
        <f t="shared" si="124"/>
        <v>0</v>
      </c>
    </row>
    <row r="693" spans="1:28" ht="36" customHeight="1">
      <c r="A693" s="121" t="s">
        <v>5007</v>
      </c>
      <c r="B693" s="305" t="s">
        <v>1069</v>
      </c>
      <c r="C693" s="306" t="s">
        <v>3186</v>
      </c>
      <c r="D693" s="306" t="s">
        <v>2833</v>
      </c>
      <c r="E693" s="561" t="s">
        <v>5224</v>
      </c>
      <c r="F693" s="583" t="s">
        <v>5335</v>
      </c>
      <c r="G693" s="548" t="s">
        <v>4830</v>
      </c>
      <c r="H693" s="548" t="s">
        <v>5008</v>
      </c>
      <c r="I693" s="549" t="s">
        <v>5009</v>
      </c>
      <c r="J693" s="550" t="s">
        <v>2898</v>
      </c>
      <c r="K693" s="551" t="s">
        <v>2899</v>
      </c>
      <c r="L693" s="95"/>
      <c r="M693" s="104"/>
      <c r="N693" s="137">
        <v>0</v>
      </c>
      <c r="O693" s="138">
        <v>0</v>
      </c>
      <c r="P693" s="138">
        <v>30000</v>
      </c>
      <c r="Q693" s="138">
        <v>30000</v>
      </c>
      <c r="R693" s="138">
        <v>30000</v>
      </c>
      <c r="S693" s="139">
        <v>30000</v>
      </c>
      <c r="T693" s="322">
        <f t="shared" ref="T693:T700" si="130">IF(N693="","",Q693-N693)</f>
        <v>30000</v>
      </c>
      <c r="U693" s="140" t="str">
        <f t="shared" ref="U693:U700" si="131">IF(N693=0,"",T693/N693)</f>
        <v/>
      </c>
      <c r="V693" s="322">
        <f t="shared" si="122"/>
        <v>30000</v>
      </c>
      <c r="W693" s="140" t="str">
        <f t="shared" ref="W693:W700" si="132">IF(O693=0,"",V693/O693)</f>
        <v/>
      </c>
      <c r="X693" s="322">
        <f t="shared" ref="X693:X700" si="133">IF(P693="","",Q693-P693)</f>
        <v>0</v>
      </c>
      <c r="Y693" s="140">
        <f t="shared" ref="Y693:Y700" si="134">IF(P693=0,"",X693/P693)</f>
        <v>0</v>
      </c>
      <c r="Z693" s="519">
        <v>22337.444675571132</v>
      </c>
      <c r="AA693" s="111">
        <f t="shared" si="123"/>
        <v>29783.259567428177</v>
      </c>
      <c r="AB693" s="522">
        <f t="shared" si="124"/>
        <v>216.74043257182348</v>
      </c>
    </row>
    <row r="694" spans="1:28" ht="26.25" customHeight="1">
      <c r="A694" s="121" t="s">
        <v>5010</v>
      </c>
      <c r="B694" s="305" t="s">
        <v>1069</v>
      </c>
      <c r="C694" s="306" t="s">
        <v>3186</v>
      </c>
      <c r="D694" s="306" t="s">
        <v>1378</v>
      </c>
      <c r="E694" s="561" t="s">
        <v>5011</v>
      </c>
      <c r="F694" s="583" t="s">
        <v>5336</v>
      </c>
      <c r="G694" s="548" t="s">
        <v>4832</v>
      </c>
      <c r="H694" s="548" t="s">
        <v>5012</v>
      </c>
      <c r="I694" s="549" t="s">
        <v>5013</v>
      </c>
      <c r="J694" s="550" t="s">
        <v>2898</v>
      </c>
      <c r="K694" s="551" t="s">
        <v>2899</v>
      </c>
      <c r="L694" s="95"/>
      <c r="M694" s="104"/>
      <c r="N694" s="137">
        <v>0</v>
      </c>
      <c r="O694" s="138">
        <v>0</v>
      </c>
      <c r="P694" s="138">
        <v>0</v>
      </c>
      <c r="Q694" s="138">
        <v>0</v>
      </c>
      <c r="R694" s="138">
        <v>0</v>
      </c>
      <c r="S694" s="139">
        <v>0</v>
      </c>
      <c r="T694" s="322">
        <f t="shared" si="130"/>
        <v>0</v>
      </c>
      <c r="U694" s="140" t="str">
        <f t="shared" si="131"/>
        <v/>
      </c>
      <c r="V694" s="322">
        <f t="shared" si="122"/>
        <v>0</v>
      </c>
      <c r="W694" s="140" t="str">
        <f t="shared" si="132"/>
        <v/>
      </c>
      <c r="X694" s="322">
        <f t="shared" si="133"/>
        <v>0</v>
      </c>
      <c r="Y694" s="140" t="str">
        <f t="shared" si="134"/>
        <v/>
      </c>
      <c r="Z694" s="519">
        <v>0</v>
      </c>
      <c r="AA694" s="111">
        <f t="shared" si="123"/>
        <v>0</v>
      </c>
      <c r="AB694" s="522">
        <f t="shared" si="124"/>
        <v>0</v>
      </c>
    </row>
    <row r="695" spans="1:28" ht="26.25" customHeight="1">
      <c r="A695" s="121" t="s">
        <v>5014</v>
      </c>
      <c r="B695" s="305" t="s">
        <v>1069</v>
      </c>
      <c r="C695" s="306" t="s">
        <v>3186</v>
      </c>
      <c r="D695" s="306" t="s">
        <v>1379</v>
      </c>
      <c r="E695" s="561" t="s">
        <v>5015</v>
      </c>
      <c r="F695" s="583" t="s">
        <v>5016</v>
      </c>
      <c r="G695" s="548" t="s">
        <v>4834</v>
      </c>
      <c r="H695" s="548" t="s">
        <v>5017</v>
      </c>
      <c r="I695" s="549" t="s">
        <v>2466</v>
      </c>
      <c r="J695" s="550" t="s">
        <v>2898</v>
      </c>
      <c r="K695" s="551" t="s">
        <v>2899</v>
      </c>
      <c r="L695" s="95"/>
      <c r="M695" s="104"/>
      <c r="N695" s="137">
        <v>0</v>
      </c>
      <c r="O695" s="138">
        <v>0</v>
      </c>
      <c r="P695" s="138">
        <v>62000</v>
      </c>
      <c r="Q695" s="138">
        <v>62000</v>
      </c>
      <c r="R695" s="138">
        <v>62000</v>
      </c>
      <c r="S695" s="139">
        <v>62000</v>
      </c>
      <c r="T695" s="322">
        <f t="shared" si="130"/>
        <v>62000</v>
      </c>
      <c r="U695" s="140" t="str">
        <f t="shared" si="131"/>
        <v/>
      </c>
      <c r="V695" s="322">
        <f t="shared" si="122"/>
        <v>62000</v>
      </c>
      <c r="W695" s="140" t="str">
        <f t="shared" si="132"/>
        <v/>
      </c>
      <c r="X695" s="322">
        <f t="shared" si="133"/>
        <v>0</v>
      </c>
      <c r="Y695" s="140">
        <f t="shared" si="134"/>
        <v>0</v>
      </c>
      <c r="Z695" s="519">
        <v>47220.629608944502</v>
      </c>
      <c r="AA695" s="111">
        <f t="shared" si="123"/>
        <v>62960.839478592672</v>
      </c>
      <c r="AB695" s="522">
        <f t="shared" si="124"/>
        <v>-960.83947859267209</v>
      </c>
    </row>
    <row r="696" spans="1:28" ht="26.25" customHeight="1">
      <c r="A696" s="121" t="s">
        <v>5018</v>
      </c>
      <c r="B696" s="305" t="s">
        <v>1069</v>
      </c>
      <c r="C696" s="306" t="s">
        <v>3186</v>
      </c>
      <c r="D696" s="306" t="s">
        <v>2467</v>
      </c>
      <c r="E696" s="561" t="s">
        <v>5019</v>
      </c>
      <c r="F696" s="583" t="s">
        <v>5020</v>
      </c>
      <c r="G696" s="548" t="s">
        <v>4836</v>
      </c>
      <c r="H696" s="548" t="s">
        <v>5021</v>
      </c>
      <c r="I696" s="549" t="s">
        <v>5022</v>
      </c>
      <c r="J696" s="550" t="s">
        <v>2898</v>
      </c>
      <c r="K696" s="551" t="s">
        <v>2899</v>
      </c>
      <c r="L696" s="95"/>
      <c r="M696" s="104"/>
      <c r="N696" s="137">
        <v>0</v>
      </c>
      <c r="O696" s="138">
        <v>0</v>
      </c>
      <c r="P696" s="138">
        <v>3000</v>
      </c>
      <c r="Q696" s="138">
        <v>3000</v>
      </c>
      <c r="R696" s="138">
        <v>3000</v>
      </c>
      <c r="S696" s="139">
        <v>3000</v>
      </c>
      <c r="T696" s="322">
        <f t="shared" si="130"/>
        <v>3000</v>
      </c>
      <c r="U696" s="140" t="str">
        <f t="shared" si="131"/>
        <v/>
      </c>
      <c r="V696" s="322">
        <f t="shared" si="122"/>
        <v>3000</v>
      </c>
      <c r="W696" s="140" t="str">
        <f t="shared" si="132"/>
        <v/>
      </c>
      <c r="X696" s="322">
        <f t="shared" si="133"/>
        <v>0</v>
      </c>
      <c r="Y696" s="140">
        <f t="shared" si="134"/>
        <v>0</v>
      </c>
      <c r="Z696" s="519">
        <v>1812.4933506105172</v>
      </c>
      <c r="AA696" s="111">
        <f t="shared" si="123"/>
        <v>2416.6578008140227</v>
      </c>
      <c r="AB696" s="522">
        <f t="shared" si="124"/>
        <v>583.34219918597728</v>
      </c>
    </row>
    <row r="697" spans="1:28" ht="32.25" customHeight="1">
      <c r="A697" s="121" t="s">
        <v>5023</v>
      </c>
      <c r="B697" s="305" t="s">
        <v>1069</v>
      </c>
      <c r="C697" s="306" t="s">
        <v>3186</v>
      </c>
      <c r="D697" s="306" t="s">
        <v>2138</v>
      </c>
      <c r="E697" s="561" t="s">
        <v>5024</v>
      </c>
      <c r="F697" s="583" t="s">
        <v>5025</v>
      </c>
      <c r="G697" s="548" t="s">
        <v>4838</v>
      </c>
      <c r="H697" s="548" t="s">
        <v>5026</v>
      </c>
      <c r="I697" s="549" t="s">
        <v>5027</v>
      </c>
      <c r="J697" s="550" t="s">
        <v>2898</v>
      </c>
      <c r="K697" s="551" t="s">
        <v>2899</v>
      </c>
      <c r="L697" s="95"/>
      <c r="M697" s="104"/>
      <c r="N697" s="137">
        <v>0</v>
      </c>
      <c r="O697" s="138">
        <v>0</v>
      </c>
      <c r="P697" s="138">
        <v>4000</v>
      </c>
      <c r="Q697" s="138">
        <v>4000</v>
      </c>
      <c r="R697" s="138">
        <v>4000</v>
      </c>
      <c r="S697" s="139">
        <v>4000</v>
      </c>
      <c r="T697" s="322">
        <f t="shared" si="130"/>
        <v>4000</v>
      </c>
      <c r="U697" s="140" t="str">
        <f t="shared" si="131"/>
        <v/>
      </c>
      <c r="V697" s="322">
        <f t="shared" si="122"/>
        <v>4000</v>
      </c>
      <c r="W697" s="140" t="str">
        <f t="shared" si="132"/>
        <v/>
      </c>
      <c r="X697" s="322">
        <f t="shared" si="133"/>
        <v>0</v>
      </c>
      <c r="Y697" s="140">
        <f t="shared" si="134"/>
        <v>0</v>
      </c>
      <c r="Z697" s="519">
        <v>3407.8410204130473</v>
      </c>
      <c r="AA697" s="111">
        <f t="shared" si="123"/>
        <v>4543.7880272173961</v>
      </c>
      <c r="AB697" s="522">
        <f t="shared" si="124"/>
        <v>-543.78802721739612</v>
      </c>
    </row>
    <row r="698" spans="1:28" ht="26.25" customHeight="1">
      <c r="A698" s="121" t="s">
        <v>5028</v>
      </c>
      <c r="B698" s="305" t="s">
        <v>1069</v>
      </c>
      <c r="C698" s="306" t="s">
        <v>3186</v>
      </c>
      <c r="D698" s="306" t="s">
        <v>2468</v>
      </c>
      <c r="E698" s="561" t="s">
        <v>5029</v>
      </c>
      <c r="F698" s="583" t="s">
        <v>5030</v>
      </c>
      <c r="G698" s="548" t="s">
        <v>4840</v>
      </c>
      <c r="H698" s="548" t="s">
        <v>5031</v>
      </c>
      <c r="I698" s="549" t="s">
        <v>2469</v>
      </c>
      <c r="J698" s="550" t="s">
        <v>2898</v>
      </c>
      <c r="K698" s="551" t="s">
        <v>2899</v>
      </c>
      <c r="L698" s="95"/>
      <c r="M698" s="104"/>
      <c r="N698" s="137">
        <v>0</v>
      </c>
      <c r="O698" s="138">
        <v>0</v>
      </c>
      <c r="P698" s="138">
        <v>1000</v>
      </c>
      <c r="Q698" s="138">
        <v>1000</v>
      </c>
      <c r="R698" s="138">
        <v>1000</v>
      </c>
      <c r="S698" s="139">
        <v>1000</v>
      </c>
      <c r="T698" s="322">
        <f t="shared" si="130"/>
        <v>1000</v>
      </c>
      <c r="U698" s="140" t="str">
        <f t="shared" si="131"/>
        <v/>
      </c>
      <c r="V698" s="322">
        <f t="shared" si="122"/>
        <v>1000</v>
      </c>
      <c r="W698" s="140" t="str">
        <f t="shared" si="132"/>
        <v/>
      </c>
      <c r="X698" s="322">
        <f t="shared" si="133"/>
        <v>0</v>
      </c>
      <c r="Y698" s="140">
        <f t="shared" si="134"/>
        <v>0</v>
      </c>
      <c r="Z698" s="519">
        <v>59.178309425028168</v>
      </c>
      <c r="AA698" s="111">
        <f t="shared" si="123"/>
        <v>78.904412566704224</v>
      </c>
      <c r="AB698" s="522">
        <f t="shared" si="124"/>
        <v>921.0955874332958</v>
      </c>
    </row>
    <row r="699" spans="1:28" ht="36" customHeight="1">
      <c r="A699" s="121" t="s">
        <v>5032</v>
      </c>
      <c r="B699" s="305" t="s">
        <v>1069</v>
      </c>
      <c r="C699" s="306" t="s">
        <v>3186</v>
      </c>
      <c r="D699" s="306" t="s">
        <v>2470</v>
      </c>
      <c r="E699" s="561" t="s">
        <v>5033</v>
      </c>
      <c r="F699" s="583" t="s">
        <v>5337</v>
      </c>
      <c r="G699" s="548" t="s">
        <v>4842</v>
      </c>
      <c r="H699" s="548" t="s">
        <v>5034</v>
      </c>
      <c r="I699" s="549" t="s">
        <v>2471</v>
      </c>
      <c r="J699" s="550" t="s">
        <v>2898</v>
      </c>
      <c r="K699" s="551" t="s">
        <v>2899</v>
      </c>
      <c r="L699" s="95"/>
      <c r="M699" s="104"/>
      <c r="N699" s="137">
        <v>0</v>
      </c>
      <c r="O699" s="138">
        <v>0</v>
      </c>
      <c r="P699" s="138">
        <v>0</v>
      </c>
      <c r="Q699" s="138">
        <v>0</v>
      </c>
      <c r="R699" s="138">
        <v>0</v>
      </c>
      <c r="S699" s="139">
        <v>0</v>
      </c>
      <c r="T699" s="322">
        <f t="shared" si="130"/>
        <v>0</v>
      </c>
      <c r="U699" s="140" t="str">
        <f t="shared" si="131"/>
        <v/>
      </c>
      <c r="V699" s="322">
        <f t="shared" si="122"/>
        <v>0</v>
      </c>
      <c r="W699" s="140" t="str">
        <f t="shared" si="132"/>
        <v/>
      </c>
      <c r="X699" s="322">
        <f t="shared" si="133"/>
        <v>0</v>
      </c>
      <c r="Y699" s="140" t="str">
        <f t="shared" si="134"/>
        <v/>
      </c>
      <c r="Z699" s="519">
        <v>0</v>
      </c>
      <c r="AA699" s="111">
        <f t="shared" si="123"/>
        <v>0</v>
      </c>
      <c r="AB699" s="522">
        <f t="shared" si="124"/>
        <v>0</v>
      </c>
    </row>
    <row r="700" spans="1:28" ht="36" customHeight="1">
      <c r="A700" s="121" t="s">
        <v>5035</v>
      </c>
      <c r="B700" s="305" t="s">
        <v>1069</v>
      </c>
      <c r="C700" s="306" t="s">
        <v>3186</v>
      </c>
      <c r="D700" s="306" t="s">
        <v>2472</v>
      </c>
      <c r="E700" s="561" t="s">
        <v>5036</v>
      </c>
      <c r="F700" s="583" t="s">
        <v>5338</v>
      </c>
      <c r="G700" s="548" t="s">
        <v>4844</v>
      </c>
      <c r="H700" s="548" t="s">
        <v>5037</v>
      </c>
      <c r="I700" s="549" t="s">
        <v>2136</v>
      </c>
      <c r="J700" s="550" t="s">
        <v>2898</v>
      </c>
      <c r="K700" s="551" t="s">
        <v>2899</v>
      </c>
      <c r="L700" s="95"/>
      <c r="M700" s="104"/>
      <c r="N700" s="137">
        <v>0</v>
      </c>
      <c r="O700" s="138">
        <v>0</v>
      </c>
      <c r="P700" s="138">
        <v>10000</v>
      </c>
      <c r="Q700" s="138">
        <v>10000</v>
      </c>
      <c r="R700" s="138">
        <v>10000</v>
      </c>
      <c r="S700" s="139">
        <v>10000</v>
      </c>
      <c r="T700" s="322">
        <f t="shared" si="130"/>
        <v>10000</v>
      </c>
      <c r="U700" s="140" t="str">
        <f t="shared" si="131"/>
        <v/>
      </c>
      <c r="V700" s="322">
        <f t="shared" si="122"/>
        <v>10000</v>
      </c>
      <c r="W700" s="140" t="str">
        <f t="shared" si="132"/>
        <v/>
      </c>
      <c r="X700" s="322">
        <f t="shared" si="133"/>
        <v>0</v>
      </c>
      <c r="Y700" s="140">
        <f t="shared" si="134"/>
        <v>0</v>
      </c>
      <c r="Z700" s="519">
        <v>7662.4130350357718</v>
      </c>
      <c r="AA700" s="111">
        <f t="shared" si="123"/>
        <v>10216.55071338103</v>
      </c>
      <c r="AB700" s="522">
        <f t="shared" si="124"/>
        <v>-216.55071338102971</v>
      </c>
    </row>
    <row r="701" spans="1:28" ht="26.25" customHeight="1">
      <c r="A701" s="121" t="s">
        <v>197</v>
      </c>
      <c r="B701" s="313" t="s">
        <v>1069</v>
      </c>
      <c r="C701" s="314" t="s">
        <v>3186</v>
      </c>
      <c r="D701" s="314" t="s">
        <v>3193</v>
      </c>
      <c r="E701" s="563" t="s">
        <v>199</v>
      </c>
      <c r="F701" s="582" t="s">
        <v>198</v>
      </c>
      <c r="G701" s="564" t="s">
        <v>120</v>
      </c>
      <c r="H701" s="564" t="s">
        <v>3333</v>
      </c>
      <c r="I701" s="565" t="s">
        <v>201</v>
      </c>
      <c r="J701" s="566" t="s">
        <v>2900</v>
      </c>
      <c r="K701" s="567" t="s">
        <v>2901</v>
      </c>
      <c r="L701" s="95"/>
      <c r="M701" s="104"/>
      <c r="N701" s="137">
        <v>3975.82</v>
      </c>
      <c r="O701" s="138">
        <v>45000</v>
      </c>
      <c r="P701" s="138"/>
      <c r="Q701" s="138"/>
      <c r="R701" s="138"/>
      <c r="S701" s="139"/>
      <c r="T701" s="322">
        <f t="shared" si="125"/>
        <v>-3975.82</v>
      </c>
      <c r="U701" s="140">
        <f t="shared" si="126"/>
        <v>-1</v>
      </c>
      <c r="V701" s="322">
        <f t="shared" si="122"/>
        <v>-45000</v>
      </c>
      <c r="W701" s="140">
        <f t="shared" si="127"/>
        <v>-1</v>
      </c>
      <c r="X701" s="322" t="str">
        <f t="shared" si="128"/>
        <v/>
      </c>
      <c r="Y701" s="140" t="str">
        <f t="shared" si="129"/>
        <v/>
      </c>
      <c r="Z701" s="519">
        <v>0</v>
      </c>
      <c r="AA701" s="111">
        <f t="shared" si="123"/>
        <v>0</v>
      </c>
      <c r="AB701" s="522">
        <f t="shared" si="124"/>
        <v>0</v>
      </c>
    </row>
    <row r="702" spans="1:28" ht="26.25" customHeight="1">
      <c r="A702" s="121" t="s">
        <v>5038</v>
      </c>
      <c r="B702" s="305" t="s">
        <v>1069</v>
      </c>
      <c r="C702" s="306" t="s">
        <v>3186</v>
      </c>
      <c r="D702" s="306" t="s">
        <v>1397</v>
      </c>
      <c r="E702" s="561" t="s">
        <v>5039</v>
      </c>
      <c r="F702" s="583" t="s">
        <v>5339</v>
      </c>
      <c r="G702" s="548" t="s">
        <v>4847</v>
      </c>
      <c r="H702" s="548" t="s">
        <v>5040</v>
      </c>
      <c r="I702" s="549" t="s">
        <v>3108</v>
      </c>
      <c r="J702" s="550" t="s">
        <v>2900</v>
      </c>
      <c r="K702" s="551" t="s">
        <v>2901</v>
      </c>
      <c r="L702" s="95"/>
      <c r="M702" s="104"/>
      <c r="N702" s="137">
        <v>0</v>
      </c>
      <c r="O702" s="138">
        <v>0</v>
      </c>
      <c r="P702" s="138">
        <v>1000</v>
      </c>
      <c r="Q702" s="138">
        <v>1000</v>
      </c>
      <c r="R702" s="138">
        <v>1000</v>
      </c>
      <c r="S702" s="139">
        <v>1000</v>
      </c>
      <c r="T702" s="322">
        <f t="shared" si="125"/>
        <v>1000</v>
      </c>
      <c r="U702" s="140" t="str">
        <f t="shared" si="126"/>
        <v/>
      </c>
      <c r="V702" s="322">
        <f t="shared" si="122"/>
        <v>1000</v>
      </c>
      <c r="W702" s="140" t="str">
        <f t="shared" si="127"/>
        <v/>
      </c>
      <c r="X702" s="322">
        <f t="shared" si="128"/>
        <v>0</v>
      </c>
      <c r="Y702" s="140">
        <f t="shared" si="129"/>
        <v>0</v>
      </c>
      <c r="Z702" s="519">
        <v>350.58805479121293</v>
      </c>
      <c r="AA702" s="111">
        <f t="shared" si="123"/>
        <v>467.45073972161725</v>
      </c>
      <c r="AB702" s="522">
        <f t="shared" si="124"/>
        <v>532.54926027838269</v>
      </c>
    </row>
    <row r="703" spans="1:28" ht="34.5" customHeight="1">
      <c r="A703" s="121" t="s">
        <v>5041</v>
      </c>
      <c r="B703" s="305" t="s">
        <v>1069</v>
      </c>
      <c r="C703" s="306" t="s">
        <v>3186</v>
      </c>
      <c r="D703" s="306" t="s">
        <v>1398</v>
      </c>
      <c r="E703" s="561" t="s">
        <v>5225</v>
      </c>
      <c r="F703" s="583" t="s">
        <v>5340</v>
      </c>
      <c r="G703" s="548" t="s">
        <v>4849</v>
      </c>
      <c r="H703" s="548" t="s">
        <v>5042</v>
      </c>
      <c r="I703" s="549" t="s">
        <v>5043</v>
      </c>
      <c r="J703" s="550" t="s">
        <v>2900</v>
      </c>
      <c r="K703" s="551" t="s">
        <v>2901</v>
      </c>
      <c r="L703" s="95"/>
      <c r="M703" s="104"/>
      <c r="N703" s="137">
        <v>0</v>
      </c>
      <c r="O703" s="138">
        <v>0</v>
      </c>
      <c r="P703" s="138">
        <v>0</v>
      </c>
      <c r="Q703" s="138">
        <v>0</v>
      </c>
      <c r="R703" s="138">
        <v>0</v>
      </c>
      <c r="S703" s="139">
        <v>0</v>
      </c>
      <c r="T703" s="322">
        <f t="shared" si="125"/>
        <v>0</v>
      </c>
      <c r="U703" s="140" t="str">
        <f t="shared" si="126"/>
        <v/>
      </c>
      <c r="V703" s="322">
        <f t="shared" si="122"/>
        <v>0</v>
      </c>
      <c r="W703" s="140" t="str">
        <f t="shared" si="127"/>
        <v/>
      </c>
      <c r="X703" s="322">
        <f t="shared" si="128"/>
        <v>0</v>
      </c>
      <c r="Y703" s="140" t="str">
        <f t="shared" si="129"/>
        <v/>
      </c>
      <c r="Z703" s="519">
        <v>99.06446971945411</v>
      </c>
      <c r="AA703" s="111">
        <f t="shared" si="123"/>
        <v>132.08595962593881</v>
      </c>
      <c r="AB703" s="522">
        <f t="shared" si="124"/>
        <v>-132.08595962593881</v>
      </c>
    </row>
    <row r="704" spans="1:28" ht="26.25" customHeight="1">
      <c r="A704" s="121" t="s">
        <v>5044</v>
      </c>
      <c r="B704" s="305" t="s">
        <v>1069</v>
      </c>
      <c r="C704" s="306" t="s">
        <v>3186</v>
      </c>
      <c r="D704" s="306" t="s">
        <v>1399</v>
      </c>
      <c r="E704" s="561" t="s">
        <v>5226</v>
      </c>
      <c r="F704" s="583" t="s">
        <v>5341</v>
      </c>
      <c r="G704" s="548" t="s">
        <v>4851</v>
      </c>
      <c r="H704" s="548" t="s">
        <v>5045</v>
      </c>
      <c r="I704" s="549" t="s">
        <v>2537</v>
      </c>
      <c r="J704" s="550" t="s">
        <v>2900</v>
      </c>
      <c r="K704" s="551" t="s">
        <v>2901</v>
      </c>
      <c r="L704" s="95"/>
      <c r="M704" s="104"/>
      <c r="N704" s="137">
        <v>0</v>
      </c>
      <c r="O704" s="138">
        <v>0</v>
      </c>
      <c r="P704" s="138">
        <v>0</v>
      </c>
      <c r="Q704" s="138">
        <v>0</v>
      </c>
      <c r="R704" s="138">
        <v>0</v>
      </c>
      <c r="S704" s="139">
        <v>0</v>
      </c>
      <c r="T704" s="322">
        <f t="shared" si="125"/>
        <v>0</v>
      </c>
      <c r="U704" s="140" t="str">
        <f t="shared" si="126"/>
        <v/>
      </c>
      <c r="V704" s="322">
        <f t="shared" si="122"/>
        <v>0</v>
      </c>
      <c r="W704" s="140" t="str">
        <f t="shared" si="127"/>
        <v/>
      </c>
      <c r="X704" s="322">
        <f t="shared" si="128"/>
        <v>0</v>
      </c>
      <c r="Y704" s="140" t="str">
        <f t="shared" si="129"/>
        <v/>
      </c>
      <c r="Z704" s="519">
        <v>0</v>
      </c>
      <c r="AA704" s="111">
        <f t="shared" si="123"/>
        <v>0</v>
      </c>
      <c r="AB704" s="522">
        <f t="shared" si="124"/>
        <v>0</v>
      </c>
    </row>
    <row r="705" spans="1:28" ht="35.25" customHeight="1">
      <c r="A705" s="121" t="s">
        <v>5046</v>
      </c>
      <c r="B705" s="305" t="s">
        <v>1069</v>
      </c>
      <c r="C705" s="306" t="s">
        <v>3186</v>
      </c>
      <c r="D705" s="306" t="s">
        <v>1400</v>
      </c>
      <c r="E705" s="561" t="s">
        <v>5047</v>
      </c>
      <c r="F705" s="583" t="s">
        <v>5342</v>
      </c>
      <c r="G705" s="548" t="s">
        <v>4853</v>
      </c>
      <c r="H705" s="548" t="s">
        <v>5048</v>
      </c>
      <c r="I705" s="549" t="s">
        <v>2548</v>
      </c>
      <c r="J705" s="550" t="s">
        <v>2900</v>
      </c>
      <c r="K705" s="551" t="s">
        <v>2901</v>
      </c>
      <c r="L705" s="95"/>
      <c r="M705" s="104"/>
      <c r="N705" s="137">
        <v>0</v>
      </c>
      <c r="O705" s="138">
        <v>0</v>
      </c>
      <c r="P705" s="138">
        <v>44000</v>
      </c>
      <c r="Q705" s="138">
        <v>44000</v>
      </c>
      <c r="R705" s="138">
        <v>44000</v>
      </c>
      <c r="S705" s="139">
        <v>44000</v>
      </c>
      <c r="T705" s="322">
        <f t="shared" si="125"/>
        <v>44000</v>
      </c>
      <c r="U705" s="140" t="str">
        <f t="shared" si="126"/>
        <v/>
      </c>
      <c r="V705" s="322">
        <f t="shared" si="122"/>
        <v>44000</v>
      </c>
      <c r="W705" s="140" t="str">
        <f t="shared" si="127"/>
        <v/>
      </c>
      <c r="X705" s="322">
        <f t="shared" si="128"/>
        <v>0</v>
      </c>
      <c r="Y705" s="140">
        <f t="shared" si="129"/>
        <v>0</v>
      </c>
      <c r="Z705" s="519">
        <v>33300.34747548934</v>
      </c>
      <c r="AA705" s="111">
        <f t="shared" si="123"/>
        <v>44400.463300652453</v>
      </c>
      <c r="AB705" s="522">
        <f t="shared" si="124"/>
        <v>-400.46330065245274</v>
      </c>
    </row>
    <row r="706" spans="1:28" ht="26.25" customHeight="1">
      <c r="A706" s="121" t="s">
        <v>5049</v>
      </c>
      <c r="B706" s="305" t="s">
        <v>1069</v>
      </c>
      <c r="C706" s="306" t="s">
        <v>3186</v>
      </c>
      <c r="D706" s="306" t="s">
        <v>1401</v>
      </c>
      <c r="E706" s="561" t="s">
        <v>5050</v>
      </c>
      <c r="F706" s="583" t="s">
        <v>5343</v>
      </c>
      <c r="G706" s="548" t="s">
        <v>4855</v>
      </c>
      <c r="H706" s="548" t="s">
        <v>5051</v>
      </c>
      <c r="I706" s="549" t="s">
        <v>2559</v>
      </c>
      <c r="J706" s="550" t="s">
        <v>2900</v>
      </c>
      <c r="K706" s="551" t="s">
        <v>2901</v>
      </c>
      <c r="L706" s="95"/>
      <c r="M706" s="104"/>
      <c r="N706" s="137">
        <v>0</v>
      </c>
      <c r="O706" s="138">
        <v>0</v>
      </c>
      <c r="P706" s="138">
        <v>0</v>
      </c>
      <c r="Q706" s="138">
        <v>0</v>
      </c>
      <c r="R706" s="138">
        <v>0</v>
      </c>
      <c r="S706" s="139">
        <v>0</v>
      </c>
      <c r="T706" s="322">
        <f t="shared" si="125"/>
        <v>0</v>
      </c>
      <c r="U706" s="140" t="str">
        <f t="shared" si="126"/>
        <v/>
      </c>
      <c r="V706" s="322">
        <f t="shared" si="122"/>
        <v>0</v>
      </c>
      <c r="W706" s="140" t="str">
        <f t="shared" si="127"/>
        <v/>
      </c>
      <c r="X706" s="322">
        <f t="shared" si="128"/>
        <v>0</v>
      </c>
      <c r="Y706" s="140" t="str">
        <f t="shared" si="129"/>
        <v/>
      </c>
      <c r="Z706" s="519">
        <v>0</v>
      </c>
      <c r="AA706" s="111">
        <f t="shared" si="123"/>
        <v>0</v>
      </c>
      <c r="AB706" s="111">
        <f t="shared" si="124"/>
        <v>0</v>
      </c>
    </row>
    <row r="707" spans="1:28" ht="26.25" customHeight="1">
      <c r="A707" s="121" t="s">
        <v>5052</v>
      </c>
      <c r="B707" s="305" t="s">
        <v>1069</v>
      </c>
      <c r="C707" s="306" t="s">
        <v>3186</v>
      </c>
      <c r="D707" s="306" t="s">
        <v>1402</v>
      </c>
      <c r="E707" s="561" t="s">
        <v>5227</v>
      </c>
      <c r="F707" s="583" t="s">
        <v>5344</v>
      </c>
      <c r="G707" s="548" t="s">
        <v>4857</v>
      </c>
      <c r="H707" s="548" t="s">
        <v>5053</v>
      </c>
      <c r="I707" s="549" t="s">
        <v>3171</v>
      </c>
      <c r="J707" s="550" t="s">
        <v>2900</v>
      </c>
      <c r="K707" s="551" t="s">
        <v>2901</v>
      </c>
      <c r="L707" s="95"/>
      <c r="M707" s="104"/>
      <c r="N707" s="137">
        <v>0</v>
      </c>
      <c r="O707" s="138">
        <v>0</v>
      </c>
      <c r="P707" s="138">
        <v>0</v>
      </c>
      <c r="Q707" s="138">
        <v>0</v>
      </c>
      <c r="R707" s="138">
        <v>0</v>
      </c>
      <c r="S707" s="139">
        <v>0</v>
      </c>
      <c r="T707" s="322">
        <f t="shared" si="125"/>
        <v>0</v>
      </c>
      <c r="U707" s="140" t="str">
        <f t="shared" si="126"/>
        <v/>
      </c>
      <c r="V707" s="322">
        <f t="shared" si="122"/>
        <v>0</v>
      </c>
      <c r="W707" s="140" t="str">
        <f t="shared" si="127"/>
        <v/>
      </c>
      <c r="X707" s="322">
        <f t="shared" si="128"/>
        <v>0</v>
      </c>
      <c r="Y707" s="140" t="str">
        <f t="shared" si="129"/>
        <v/>
      </c>
      <c r="Z707" s="519">
        <v>0</v>
      </c>
      <c r="AA707" s="111">
        <f t="shared" si="123"/>
        <v>0</v>
      </c>
      <c r="AB707" s="111">
        <f t="shared" si="124"/>
        <v>0</v>
      </c>
    </row>
    <row r="708" spans="1:28" ht="26.25" customHeight="1">
      <c r="A708" s="122" t="s">
        <v>202</v>
      </c>
      <c r="B708" s="129" t="s">
        <v>1069</v>
      </c>
      <c r="C708" s="107" t="s">
        <v>2759</v>
      </c>
      <c r="D708" s="107" t="s">
        <v>3185</v>
      </c>
      <c r="E708" s="554" t="s">
        <v>204</v>
      </c>
      <c r="F708" s="580" t="s">
        <v>203</v>
      </c>
      <c r="G708" s="555"/>
      <c r="H708" s="555"/>
      <c r="I708" s="556"/>
      <c r="J708" s="557"/>
      <c r="K708" s="558"/>
      <c r="L708" s="95"/>
      <c r="M708" s="104"/>
      <c r="N708" s="137">
        <v>0</v>
      </c>
      <c r="O708" s="138">
        <v>0</v>
      </c>
      <c r="P708" s="138">
        <v>0</v>
      </c>
      <c r="Q708" s="138">
        <v>0</v>
      </c>
      <c r="R708" s="138">
        <v>0</v>
      </c>
      <c r="S708" s="139">
        <v>0</v>
      </c>
      <c r="T708" s="322">
        <f t="shared" si="125"/>
        <v>0</v>
      </c>
      <c r="U708" s="140" t="str">
        <f t="shared" si="126"/>
        <v/>
      </c>
      <c r="V708" s="322">
        <f t="shared" si="122"/>
        <v>0</v>
      </c>
      <c r="W708" s="140" t="str">
        <f t="shared" si="127"/>
        <v/>
      </c>
      <c r="X708" s="322">
        <f t="shared" si="128"/>
        <v>0</v>
      </c>
      <c r="Y708" s="140" t="str">
        <f t="shared" si="129"/>
        <v/>
      </c>
      <c r="Z708" s="519">
        <v>0</v>
      </c>
      <c r="AA708" s="111">
        <f t="shared" si="123"/>
        <v>0</v>
      </c>
      <c r="AB708" s="111">
        <f t="shared" si="124"/>
        <v>0</v>
      </c>
    </row>
    <row r="709" spans="1:28" ht="26.25" customHeight="1">
      <c r="A709" s="121" t="s">
        <v>205</v>
      </c>
      <c r="B709" s="128" t="s">
        <v>1069</v>
      </c>
      <c r="C709" s="106" t="s">
        <v>2759</v>
      </c>
      <c r="D709" s="106" t="s">
        <v>3183</v>
      </c>
      <c r="E709" s="559" t="s">
        <v>204</v>
      </c>
      <c r="F709" s="579" t="s">
        <v>203</v>
      </c>
      <c r="G709" s="555" t="s">
        <v>117</v>
      </c>
      <c r="H709" s="512" t="s">
        <v>3330</v>
      </c>
      <c r="I709" s="556" t="s">
        <v>206</v>
      </c>
      <c r="J709" s="557" t="s">
        <v>1073</v>
      </c>
      <c r="K709" s="558" t="s">
        <v>2896</v>
      </c>
      <c r="L709" s="95"/>
      <c r="M709" s="104"/>
      <c r="N709" s="137">
        <v>965046.87</v>
      </c>
      <c r="O709" s="138">
        <v>1050000</v>
      </c>
      <c r="P709" s="138">
        <v>1050000</v>
      </c>
      <c r="Q709" s="138">
        <v>1050000</v>
      </c>
      <c r="R709" s="138">
        <v>1050000</v>
      </c>
      <c r="S709" s="139">
        <v>1050000</v>
      </c>
      <c r="T709" s="322">
        <f t="shared" si="125"/>
        <v>84953.13</v>
      </c>
      <c r="U709" s="140">
        <f t="shared" si="126"/>
        <v>8.8030055990959283E-2</v>
      </c>
      <c r="V709" s="322">
        <f t="shared" si="122"/>
        <v>0</v>
      </c>
      <c r="W709" s="140">
        <f t="shared" si="127"/>
        <v>0</v>
      </c>
      <c r="X709" s="322">
        <f t="shared" si="128"/>
        <v>0</v>
      </c>
      <c r="Y709" s="140">
        <f t="shared" si="129"/>
        <v>0</v>
      </c>
      <c r="Z709" s="519">
        <v>788000</v>
      </c>
      <c r="AA709" s="111">
        <f t="shared" si="123"/>
        <v>1050666.6666666667</v>
      </c>
      <c r="AB709" s="111">
        <f t="shared" si="124"/>
        <v>-666.66666666674428</v>
      </c>
    </row>
    <row r="710" spans="1:28" ht="26.25" customHeight="1">
      <c r="A710" s="113" t="s">
        <v>209</v>
      </c>
      <c r="B710" s="135" t="s">
        <v>210</v>
      </c>
      <c r="C710" s="136" t="s">
        <v>3184</v>
      </c>
      <c r="D710" s="136" t="s">
        <v>3185</v>
      </c>
      <c r="E710" s="529" t="s">
        <v>1071</v>
      </c>
      <c r="F710" s="529" t="s">
        <v>211</v>
      </c>
      <c r="G710" s="530"/>
      <c r="H710" s="530"/>
      <c r="I710" s="531"/>
      <c r="J710" s="532"/>
      <c r="K710" s="533"/>
      <c r="L710" s="95"/>
      <c r="M710" s="147"/>
      <c r="N710" s="137">
        <v>0</v>
      </c>
      <c r="O710" s="138">
        <v>0</v>
      </c>
      <c r="P710" s="138">
        <v>0</v>
      </c>
      <c r="Q710" s="138">
        <v>0</v>
      </c>
      <c r="R710" s="138">
        <v>0</v>
      </c>
      <c r="S710" s="139">
        <v>0</v>
      </c>
      <c r="T710" s="322">
        <f t="shared" si="125"/>
        <v>0</v>
      </c>
      <c r="U710" s="140" t="str">
        <f t="shared" si="126"/>
        <v/>
      </c>
      <c r="V710" s="322">
        <f t="shared" si="122"/>
        <v>0</v>
      </c>
      <c r="W710" s="140" t="str">
        <f t="shared" si="127"/>
        <v/>
      </c>
      <c r="X710" s="322">
        <f t="shared" si="128"/>
        <v>0</v>
      </c>
      <c r="Y710" s="140" t="str">
        <f t="shared" si="129"/>
        <v/>
      </c>
      <c r="Z710" s="519">
        <v>0</v>
      </c>
      <c r="AA710" s="111">
        <f t="shared" si="123"/>
        <v>0</v>
      </c>
      <c r="AB710" s="111">
        <f t="shared" si="124"/>
        <v>0</v>
      </c>
    </row>
    <row r="711" spans="1:28" ht="37.5" customHeight="1">
      <c r="A711" s="122" t="s">
        <v>1074</v>
      </c>
      <c r="B711" s="129" t="s">
        <v>210</v>
      </c>
      <c r="C711" s="107" t="s">
        <v>3187</v>
      </c>
      <c r="D711" s="107" t="s">
        <v>3185</v>
      </c>
      <c r="E711" s="554" t="s">
        <v>1076</v>
      </c>
      <c r="F711" s="534" t="s">
        <v>1075</v>
      </c>
      <c r="G711" s="555"/>
      <c r="H711" s="555"/>
      <c r="I711" s="556"/>
      <c r="J711" s="557"/>
      <c r="K711" s="558"/>
      <c r="L711" s="95"/>
      <c r="M711" s="104"/>
      <c r="N711" s="137">
        <v>0</v>
      </c>
      <c r="O711" s="138">
        <v>0</v>
      </c>
      <c r="P711" s="138">
        <v>0</v>
      </c>
      <c r="Q711" s="138">
        <v>0</v>
      </c>
      <c r="R711" s="138">
        <v>0</v>
      </c>
      <c r="S711" s="139">
        <v>0</v>
      </c>
      <c r="T711" s="322">
        <f t="shared" si="125"/>
        <v>0</v>
      </c>
      <c r="U711" s="140" t="str">
        <f t="shared" si="126"/>
        <v/>
      </c>
      <c r="V711" s="322">
        <f t="shared" si="122"/>
        <v>0</v>
      </c>
      <c r="W711" s="140" t="str">
        <f t="shared" si="127"/>
        <v/>
      </c>
      <c r="X711" s="322">
        <f t="shared" si="128"/>
        <v>0</v>
      </c>
      <c r="Y711" s="140" t="str">
        <f t="shared" si="129"/>
        <v/>
      </c>
      <c r="Z711" s="519">
        <v>0</v>
      </c>
      <c r="AA711" s="111">
        <f t="shared" si="123"/>
        <v>0</v>
      </c>
      <c r="AB711" s="111">
        <f t="shared" si="124"/>
        <v>0</v>
      </c>
    </row>
    <row r="712" spans="1:28" ht="37.5" customHeight="1">
      <c r="A712" s="121" t="s">
        <v>1077</v>
      </c>
      <c r="B712" s="128" t="s">
        <v>210</v>
      </c>
      <c r="C712" s="106" t="s">
        <v>3187</v>
      </c>
      <c r="D712" s="106" t="s">
        <v>3183</v>
      </c>
      <c r="E712" s="559" t="s">
        <v>1076</v>
      </c>
      <c r="F712" s="540" t="s">
        <v>1075</v>
      </c>
      <c r="G712" s="555" t="s">
        <v>811</v>
      </c>
      <c r="H712" s="512" t="s">
        <v>4997</v>
      </c>
      <c r="I712" s="556" t="s">
        <v>2725</v>
      </c>
      <c r="J712" s="557" t="s">
        <v>2909</v>
      </c>
      <c r="K712" s="558" t="s">
        <v>2725</v>
      </c>
      <c r="L712" s="95"/>
      <c r="M712" s="104"/>
      <c r="N712" s="137">
        <v>329141.57</v>
      </c>
      <c r="O712" s="138">
        <v>0</v>
      </c>
      <c r="P712" s="138">
        <v>0</v>
      </c>
      <c r="Q712" s="138">
        <v>0</v>
      </c>
      <c r="R712" s="138">
        <v>0</v>
      </c>
      <c r="S712" s="139">
        <v>0</v>
      </c>
      <c r="T712" s="322">
        <f t="shared" si="125"/>
        <v>-329141.57</v>
      </c>
      <c r="U712" s="140">
        <f t="shared" si="126"/>
        <v>-1</v>
      </c>
      <c r="V712" s="322">
        <f t="shared" si="122"/>
        <v>0</v>
      </c>
      <c r="W712" s="140" t="str">
        <f t="shared" si="127"/>
        <v/>
      </c>
      <c r="X712" s="322">
        <f t="shared" si="128"/>
        <v>0</v>
      </c>
      <c r="Y712" s="140" t="str">
        <f t="shared" si="129"/>
        <v/>
      </c>
      <c r="Z712" s="519">
        <v>0</v>
      </c>
      <c r="AA712" s="111">
        <f t="shared" si="123"/>
        <v>0</v>
      </c>
      <c r="AB712" s="111">
        <f t="shared" si="124"/>
        <v>0</v>
      </c>
    </row>
    <row r="713" spans="1:28" ht="37.5" customHeight="1">
      <c r="A713" s="122" t="s">
        <v>1079</v>
      </c>
      <c r="B713" s="129" t="s">
        <v>210</v>
      </c>
      <c r="C713" s="107" t="s">
        <v>2867</v>
      </c>
      <c r="D713" s="107" t="s">
        <v>3185</v>
      </c>
      <c r="E713" s="534" t="s">
        <v>1080</v>
      </c>
      <c r="F713" s="534" t="s">
        <v>5345</v>
      </c>
      <c r="G713" s="555"/>
      <c r="H713" s="555"/>
      <c r="I713" s="556"/>
      <c r="J713" s="557"/>
      <c r="K713" s="558"/>
      <c r="L713" s="95"/>
      <c r="M713" s="104"/>
      <c r="N713" s="137">
        <v>0</v>
      </c>
      <c r="O713" s="138">
        <v>0</v>
      </c>
      <c r="P713" s="138">
        <v>0</v>
      </c>
      <c r="Q713" s="138">
        <v>0</v>
      </c>
      <c r="R713" s="138">
        <v>0</v>
      </c>
      <c r="S713" s="139">
        <v>0</v>
      </c>
      <c r="T713" s="322">
        <f t="shared" si="125"/>
        <v>0</v>
      </c>
      <c r="U713" s="140" t="str">
        <f t="shared" si="126"/>
        <v/>
      </c>
      <c r="V713" s="322">
        <f t="shared" ref="V713:V776" si="135">IF(O713="","",Q713-O713)</f>
        <v>0</v>
      </c>
      <c r="W713" s="140" t="str">
        <f t="shared" si="127"/>
        <v/>
      </c>
      <c r="X713" s="322">
        <f t="shared" si="128"/>
        <v>0</v>
      </c>
      <c r="Y713" s="140" t="str">
        <f t="shared" si="129"/>
        <v/>
      </c>
      <c r="Z713" s="519">
        <v>0</v>
      </c>
      <c r="AA713" s="111">
        <f t="shared" ref="AA713:AA776" si="136">Z713/3*4</f>
        <v>0</v>
      </c>
      <c r="AB713" s="111">
        <f t="shared" ref="AB713:AB776" si="137">P713-AA713</f>
        <v>0</v>
      </c>
    </row>
    <row r="714" spans="1:28" ht="37.5" customHeight="1">
      <c r="A714" s="121" t="s">
        <v>1081</v>
      </c>
      <c r="B714" s="128" t="s">
        <v>210</v>
      </c>
      <c r="C714" s="106" t="s">
        <v>2867</v>
      </c>
      <c r="D714" s="106" t="s">
        <v>3183</v>
      </c>
      <c r="E714" s="559" t="s">
        <v>1080</v>
      </c>
      <c r="F714" s="540" t="s">
        <v>5345</v>
      </c>
      <c r="G714" s="555" t="s">
        <v>811</v>
      </c>
      <c r="H714" s="512" t="s">
        <v>4997</v>
      </c>
      <c r="I714" s="556" t="s">
        <v>2725</v>
      </c>
      <c r="J714" s="557" t="s">
        <v>2909</v>
      </c>
      <c r="K714" s="558" t="s">
        <v>2725</v>
      </c>
      <c r="L714" s="95"/>
      <c r="M714" s="104"/>
      <c r="N714" s="137">
        <v>0</v>
      </c>
      <c r="O714" s="138">
        <v>0</v>
      </c>
      <c r="P714" s="138">
        <v>0</v>
      </c>
      <c r="Q714" s="138">
        <v>0</v>
      </c>
      <c r="R714" s="138">
        <v>0</v>
      </c>
      <c r="S714" s="139">
        <v>0</v>
      </c>
      <c r="T714" s="322">
        <f t="shared" si="125"/>
        <v>0</v>
      </c>
      <c r="U714" s="140" t="str">
        <f t="shared" si="126"/>
        <v/>
      </c>
      <c r="V714" s="322">
        <f t="shared" si="135"/>
        <v>0</v>
      </c>
      <c r="W714" s="140" t="str">
        <f t="shared" si="127"/>
        <v/>
      </c>
      <c r="X714" s="322">
        <f t="shared" si="128"/>
        <v>0</v>
      </c>
      <c r="Y714" s="140" t="str">
        <f t="shared" si="129"/>
        <v/>
      </c>
      <c r="Z714" s="519">
        <v>0</v>
      </c>
      <c r="AA714" s="111">
        <f t="shared" si="136"/>
        <v>0</v>
      </c>
      <c r="AB714" s="111">
        <f t="shared" si="137"/>
        <v>0</v>
      </c>
    </row>
    <row r="715" spans="1:28" ht="36.75" customHeight="1">
      <c r="A715" s="122" t="s">
        <v>1082</v>
      </c>
      <c r="B715" s="129" t="s">
        <v>210</v>
      </c>
      <c r="C715" s="107" t="s">
        <v>1263</v>
      </c>
      <c r="D715" s="107" t="s">
        <v>3185</v>
      </c>
      <c r="E715" s="554" t="s">
        <v>1084</v>
      </c>
      <c r="F715" s="580" t="s">
        <v>1083</v>
      </c>
      <c r="G715" s="555"/>
      <c r="H715" s="555"/>
      <c r="I715" s="556"/>
      <c r="J715" s="557"/>
      <c r="K715" s="558"/>
      <c r="L715" s="95"/>
      <c r="M715" s="104"/>
      <c r="N715" s="137">
        <v>0</v>
      </c>
      <c r="O715" s="138">
        <v>0</v>
      </c>
      <c r="P715" s="138">
        <v>0</v>
      </c>
      <c r="Q715" s="138">
        <v>0</v>
      </c>
      <c r="R715" s="138">
        <v>0</v>
      </c>
      <c r="S715" s="139">
        <v>0</v>
      </c>
      <c r="T715" s="322">
        <f t="shared" si="125"/>
        <v>0</v>
      </c>
      <c r="U715" s="140" t="str">
        <f t="shared" si="126"/>
        <v/>
      </c>
      <c r="V715" s="322">
        <f t="shared" si="135"/>
        <v>0</v>
      </c>
      <c r="W715" s="140" t="str">
        <f t="shared" si="127"/>
        <v/>
      </c>
      <c r="X715" s="322">
        <f t="shared" si="128"/>
        <v>0</v>
      </c>
      <c r="Y715" s="140" t="str">
        <f t="shared" si="129"/>
        <v/>
      </c>
      <c r="Z715" s="519">
        <v>0</v>
      </c>
      <c r="AA715" s="111">
        <f t="shared" si="136"/>
        <v>0</v>
      </c>
      <c r="AB715" s="111">
        <f t="shared" si="137"/>
        <v>0</v>
      </c>
    </row>
    <row r="716" spans="1:28" ht="25.5" customHeight="1">
      <c r="A716" s="121" t="s">
        <v>1085</v>
      </c>
      <c r="B716" s="128" t="s">
        <v>210</v>
      </c>
      <c r="C716" s="106" t="s">
        <v>1263</v>
      </c>
      <c r="D716" s="106" t="s">
        <v>2138</v>
      </c>
      <c r="E716" s="540" t="s">
        <v>1695</v>
      </c>
      <c r="F716" s="540" t="s">
        <v>5346</v>
      </c>
      <c r="G716" s="555" t="s">
        <v>808</v>
      </c>
      <c r="H716" s="512" t="s">
        <v>5054</v>
      </c>
      <c r="I716" s="556" t="s">
        <v>3334</v>
      </c>
      <c r="J716" s="557" t="s">
        <v>2909</v>
      </c>
      <c r="K716" s="558" t="s">
        <v>2725</v>
      </c>
      <c r="L716" s="95"/>
      <c r="M716" s="104"/>
      <c r="N716" s="137">
        <v>583100.84</v>
      </c>
      <c r="O716" s="138">
        <v>0</v>
      </c>
      <c r="P716" s="138">
        <v>0</v>
      </c>
      <c r="Q716" s="138">
        <v>0</v>
      </c>
      <c r="R716" s="138">
        <v>0</v>
      </c>
      <c r="S716" s="139">
        <v>0</v>
      </c>
      <c r="T716" s="322">
        <f t="shared" si="125"/>
        <v>-583100.84</v>
      </c>
      <c r="U716" s="140">
        <f t="shared" si="126"/>
        <v>-1</v>
      </c>
      <c r="V716" s="322">
        <f t="shared" si="135"/>
        <v>0</v>
      </c>
      <c r="W716" s="140" t="str">
        <f t="shared" si="127"/>
        <v/>
      </c>
      <c r="X716" s="322">
        <f t="shared" si="128"/>
        <v>0</v>
      </c>
      <c r="Y716" s="140" t="str">
        <f t="shared" si="129"/>
        <v/>
      </c>
      <c r="Z716" s="519">
        <v>0</v>
      </c>
      <c r="AA716" s="111">
        <f t="shared" si="136"/>
        <v>0</v>
      </c>
      <c r="AB716" s="111">
        <f t="shared" si="137"/>
        <v>0</v>
      </c>
    </row>
    <row r="717" spans="1:28" ht="25.5" customHeight="1">
      <c r="A717" s="121" t="s">
        <v>1697</v>
      </c>
      <c r="B717" s="128" t="s">
        <v>210</v>
      </c>
      <c r="C717" s="106" t="s">
        <v>1263</v>
      </c>
      <c r="D717" s="106" t="s">
        <v>3193</v>
      </c>
      <c r="E717" s="540" t="s">
        <v>1698</v>
      </c>
      <c r="F717" s="540" t="s">
        <v>5347</v>
      </c>
      <c r="G717" s="555" t="s">
        <v>809</v>
      </c>
      <c r="H717" s="512" t="s">
        <v>5055</v>
      </c>
      <c r="I717" s="556" t="s">
        <v>3335</v>
      </c>
      <c r="J717" s="557" t="s">
        <v>2909</v>
      </c>
      <c r="K717" s="558" t="s">
        <v>2725</v>
      </c>
      <c r="L717" s="95"/>
      <c r="M717" s="104"/>
      <c r="N717" s="137">
        <v>0</v>
      </c>
      <c r="O717" s="138">
        <v>0</v>
      </c>
      <c r="P717" s="138">
        <v>0</v>
      </c>
      <c r="Q717" s="138">
        <v>0</v>
      </c>
      <c r="R717" s="138">
        <v>0</v>
      </c>
      <c r="S717" s="139">
        <v>0</v>
      </c>
      <c r="T717" s="322">
        <f t="shared" si="125"/>
        <v>0</v>
      </c>
      <c r="U717" s="140" t="str">
        <f t="shared" si="126"/>
        <v/>
      </c>
      <c r="V717" s="322">
        <f t="shared" si="135"/>
        <v>0</v>
      </c>
      <c r="W717" s="140" t="str">
        <f t="shared" si="127"/>
        <v/>
      </c>
      <c r="X717" s="322">
        <f t="shared" si="128"/>
        <v>0</v>
      </c>
      <c r="Y717" s="140" t="str">
        <f t="shared" si="129"/>
        <v/>
      </c>
      <c r="Z717" s="519">
        <v>0</v>
      </c>
      <c r="AA717" s="111">
        <f t="shared" si="136"/>
        <v>0</v>
      </c>
      <c r="AB717" s="111">
        <f t="shared" si="137"/>
        <v>0</v>
      </c>
    </row>
    <row r="718" spans="1:28" ht="25.5" customHeight="1">
      <c r="A718" s="121" t="s">
        <v>1699</v>
      </c>
      <c r="B718" s="128" t="s">
        <v>210</v>
      </c>
      <c r="C718" s="106" t="s">
        <v>1263</v>
      </c>
      <c r="D718" s="106" t="s">
        <v>1401</v>
      </c>
      <c r="E718" s="540" t="s">
        <v>1700</v>
      </c>
      <c r="F718" s="540" t="s">
        <v>5348</v>
      </c>
      <c r="G718" s="555" t="s">
        <v>810</v>
      </c>
      <c r="H718" s="512" t="s">
        <v>5056</v>
      </c>
      <c r="I718" s="556" t="s">
        <v>3336</v>
      </c>
      <c r="J718" s="557" t="s">
        <v>2909</v>
      </c>
      <c r="K718" s="558" t="s">
        <v>2725</v>
      </c>
      <c r="L718" s="95"/>
      <c r="M718" s="104"/>
      <c r="N718" s="137">
        <v>0</v>
      </c>
      <c r="O718" s="138">
        <v>0</v>
      </c>
      <c r="P718" s="138">
        <v>0</v>
      </c>
      <c r="Q718" s="138">
        <v>0</v>
      </c>
      <c r="R718" s="138">
        <v>0</v>
      </c>
      <c r="S718" s="139">
        <v>0</v>
      </c>
      <c r="T718" s="322">
        <f t="shared" si="125"/>
        <v>0</v>
      </c>
      <c r="U718" s="140" t="str">
        <f t="shared" si="126"/>
        <v/>
      </c>
      <c r="V718" s="322">
        <f t="shared" si="135"/>
        <v>0</v>
      </c>
      <c r="W718" s="140" t="str">
        <f t="shared" si="127"/>
        <v/>
      </c>
      <c r="X718" s="322">
        <f t="shared" si="128"/>
        <v>0</v>
      </c>
      <c r="Y718" s="140" t="str">
        <f t="shared" si="129"/>
        <v/>
      </c>
      <c r="Z718" s="519">
        <v>0</v>
      </c>
      <c r="AA718" s="111">
        <f t="shared" si="136"/>
        <v>0</v>
      </c>
      <c r="AB718" s="111">
        <f t="shared" si="137"/>
        <v>0</v>
      </c>
    </row>
    <row r="719" spans="1:28" ht="25.5" customHeight="1">
      <c r="A719" s="121" t="s">
        <v>1701</v>
      </c>
      <c r="B719" s="128" t="s">
        <v>210</v>
      </c>
      <c r="C719" s="106" t="s">
        <v>1263</v>
      </c>
      <c r="D719" s="106" t="s">
        <v>2631</v>
      </c>
      <c r="E719" s="540" t="s">
        <v>1703</v>
      </c>
      <c r="F719" s="540" t="s">
        <v>1702</v>
      </c>
      <c r="G719" s="555" t="s">
        <v>809</v>
      </c>
      <c r="H719" s="512" t="s">
        <v>5055</v>
      </c>
      <c r="I719" s="556" t="s">
        <v>3335</v>
      </c>
      <c r="J719" s="557" t="s">
        <v>2909</v>
      </c>
      <c r="K719" s="558" t="s">
        <v>2725</v>
      </c>
      <c r="L719" s="95"/>
      <c r="M719" s="104"/>
      <c r="N719" s="137">
        <v>0</v>
      </c>
      <c r="O719" s="138">
        <v>0</v>
      </c>
      <c r="P719" s="138">
        <v>0</v>
      </c>
      <c r="Q719" s="138">
        <v>0</v>
      </c>
      <c r="R719" s="138">
        <v>0</v>
      </c>
      <c r="S719" s="139">
        <v>0</v>
      </c>
      <c r="T719" s="322">
        <f t="shared" si="125"/>
        <v>0</v>
      </c>
      <c r="U719" s="140" t="str">
        <f t="shared" si="126"/>
        <v/>
      </c>
      <c r="V719" s="322">
        <f t="shared" si="135"/>
        <v>0</v>
      </c>
      <c r="W719" s="140" t="str">
        <f t="shared" si="127"/>
        <v/>
      </c>
      <c r="X719" s="322">
        <f t="shared" si="128"/>
        <v>0</v>
      </c>
      <c r="Y719" s="140" t="str">
        <f t="shared" si="129"/>
        <v/>
      </c>
      <c r="Z719" s="519">
        <v>0</v>
      </c>
      <c r="AA719" s="111">
        <f t="shared" si="136"/>
        <v>0</v>
      </c>
      <c r="AB719" s="111">
        <f t="shared" si="137"/>
        <v>0</v>
      </c>
    </row>
    <row r="720" spans="1:28" ht="25.5" customHeight="1">
      <c r="A720" s="121" t="s">
        <v>1704</v>
      </c>
      <c r="B720" s="128" t="s">
        <v>210</v>
      </c>
      <c r="C720" s="106" t="s">
        <v>1263</v>
      </c>
      <c r="D720" s="106" t="s">
        <v>1552</v>
      </c>
      <c r="E720" s="540" t="s">
        <v>1706</v>
      </c>
      <c r="F720" s="540" t="s">
        <v>1705</v>
      </c>
      <c r="G720" s="555" t="s">
        <v>810</v>
      </c>
      <c r="H720" s="512" t="s">
        <v>5056</v>
      </c>
      <c r="I720" s="556" t="s">
        <v>3336</v>
      </c>
      <c r="J720" s="557" t="s">
        <v>2909</v>
      </c>
      <c r="K720" s="558" t="s">
        <v>2725</v>
      </c>
      <c r="L720" s="95"/>
      <c r="M720" s="104"/>
      <c r="N720" s="137">
        <v>0</v>
      </c>
      <c r="O720" s="138">
        <v>0</v>
      </c>
      <c r="P720" s="138">
        <v>0</v>
      </c>
      <c r="Q720" s="138">
        <v>0</v>
      </c>
      <c r="R720" s="138">
        <v>0</v>
      </c>
      <c r="S720" s="139">
        <v>0</v>
      </c>
      <c r="T720" s="322">
        <f t="shared" si="125"/>
        <v>0</v>
      </c>
      <c r="U720" s="140" t="str">
        <f t="shared" si="126"/>
        <v/>
      </c>
      <c r="V720" s="322">
        <f t="shared" si="135"/>
        <v>0</v>
      </c>
      <c r="W720" s="140" t="str">
        <f t="shared" si="127"/>
        <v/>
      </c>
      <c r="X720" s="322">
        <f t="shared" si="128"/>
        <v>0</v>
      </c>
      <c r="Y720" s="140" t="str">
        <f t="shared" si="129"/>
        <v/>
      </c>
      <c r="Z720" s="519">
        <v>0</v>
      </c>
      <c r="AA720" s="111">
        <f t="shared" si="136"/>
        <v>0</v>
      </c>
      <c r="AB720" s="111">
        <f t="shared" si="137"/>
        <v>0</v>
      </c>
    </row>
    <row r="721" spans="1:28" ht="25.5" customHeight="1">
      <c r="A721" s="121" t="s">
        <v>1707</v>
      </c>
      <c r="B721" s="128" t="s">
        <v>210</v>
      </c>
      <c r="C721" s="106" t="s">
        <v>1263</v>
      </c>
      <c r="D721" s="106" t="s">
        <v>1404</v>
      </c>
      <c r="E721" s="540" t="s">
        <v>1709</v>
      </c>
      <c r="F721" s="540" t="s">
        <v>1708</v>
      </c>
      <c r="G721" s="555" t="s">
        <v>809</v>
      </c>
      <c r="H721" s="512" t="s">
        <v>5055</v>
      </c>
      <c r="I721" s="556" t="s">
        <v>3335</v>
      </c>
      <c r="J721" s="557" t="s">
        <v>2909</v>
      </c>
      <c r="K721" s="558" t="s">
        <v>2725</v>
      </c>
      <c r="L721" s="95"/>
      <c r="M721" s="104"/>
      <c r="N721" s="137">
        <v>0</v>
      </c>
      <c r="O721" s="138">
        <v>0</v>
      </c>
      <c r="P721" s="138">
        <v>0</v>
      </c>
      <c r="Q721" s="138">
        <v>0</v>
      </c>
      <c r="R721" s="138">
        <v>0</v>
      </c>
      <c r="S721" s="139">
        <v>0</v>
      </c>
      <c r="T721" s="322">
        <f t="shared" si="125"/>
        <v>0</v>
      </c>
      <c r="U721" s="140" t="str">
        <f t="shared" si="126"/>
        <v/>
      </c>
      <c r="V721" s="322">
        <f t="shared" si="135"/>
        <v>0</v>
      </c>
      <c r="W721" s="140" t="str">
        <f t="shared" si="127"/>
        <v/>
      </c>
      <c r="X721" s="322">
        <f t="shared" si="128"/>
        <v>0</v>
      </c>
      <c r="Y721" s="140" t="str">
        <f t="shared" si="129"/>
        <v/>
      </c>
      <c r="Z721" s="519">
        <v>0</v>
      </c>
      <c r="AA721" s="111">
        <f t="shared" si="136"/>
        <v>0</v>
      </c>
      <c r="AB721" s="111">
        <f t="shared" si="137"/>
        <v>0</v>
      </c>
    </row>
    <row r="722" spans="1:28" ht="25.5" customHeight="1">
      <c r="A722" s="121" t="s">
        <v>1710</v>
      </c>
      <c r="B722" s="128" t="s">
        <v>210</v>
      </c>
      <c r="C722" s="106" t="s">
        <v>1263</v>
      </c>
      <c r="D722" s="106" t="s">
        <v>1555</v>
      </c>
      <c r="E722" s="540" t="s">
        <v>1712</v>
      </c>
      <c r="F722" s="540" t="s">
        <v>1711</v>
      </c>
      <c r="G722" s="555" t="s">
        <v>810</v>
      </c>
      <c r="H722" s="512" t="s">
        <v>5056</v>
      </c>
      <c r="I722" s="556" t="s">
        <v>3336</v>
      </c>
      <c r="J722" s="557" t="s">
        <v>2909</v>
      </c>
      <c r="K722" s="558" t="s">
        <v>2725</v>
      </c>
      <c r="L722" s="95"/>
      <c r="M722" s="104"/>
      <c r="N722" s="137">
        <v>0</v>
      </c>
      <c r="O722" s="138">
        <v>0</v>
      </c>
      <c r="P722" s="138">
        <v>0</v>
      </c>
      <c r="Q722" s="138">
        <v>0</v>
      </c>
      <c r="R722" s="138">
        <v>0</v>
      </c>
      <c r="S722" s="139">
        <v>0</v>
      </c>
      <c r="T722" s="322">
        <f t="shared" si="125"/>
        <v>0</v>
      </c>
      <c r="U722" s="140" t="str">
        <f t="shared" si="126"/>
        <v/>
      </c>
      <c r="V722" s="322">
        <f t="shared" si="135"/>
        <v>0</v>
      </c>
      <c r="W722" s="140" t="str">
        <f t="shared" si="127"/>
        <v/>
      </c>
      <c r="X722" s="322">
        <f t="shared" si="128"/>
        <v>0</v>
      </c>
      <c r="Y722" s="140" t="str">
        <f t="shared" si="129"/>
        <v/>
      </c>
      <c r="Z722" s="519">
        <v>0</v>
      </c>
      <c r="AA722" s="111">
        <f t="shared" si="136"/>
        <v>0</v>
      </c>
      <c r="AB722" s="111">
        <f t="shared" si="137"/>
        <v>0</v>
      </c>
    </row>
    <row r="723" spans="1:28" ht="25.5" customHeight="1">
      <c r="A723" s="121" t="s">
        <v>1713</v>
      </c>
      <c r="B723" s="128" t="s">
        <v>210</v>
      </c>
      <c r="C723" s="106" t="s">
        <v>1263</v>
      </c>
      <c r="D723" s="106" t="s">
        <v>1405</v>
      </c>
      <c r="E723" s="540" t="s">
        <v>1715</v>
      </c>
      <c r="F723" s="540" t="s">
        <v>1714</v>
      </c>
      <c r="G723" s="555" t="s">
        <v>809</v>
      </c>
      <c r="H723" s="512" t="s">
        <v>5055</v>
      </c>
      <c r="I723" s="556" t="s">
        <v>3335</v>
      </c>
      <c r="J723" s="557" t="s">
        <v>2909</v>
      </c>
      <c r="K723" s="558" t="s">
        <v>2725</v>
      </c>
      <c r="L723" s="95"/>
      <c r="M723" s="104"/>
      <c r="N723" s="137">
        <v>0</v>
      </c>
      <c r="O723" s="138">
        <v>0</v>
      </c>
      <c r="P723" s="138">
        <v>0</v>
      </c>
      <c r="Q723" s="138">
        <v>0</v>
      </c>
      <c r="R723" s="138">
        <v>0</v>
      </c>
      <c r="S723" s="139">
        <v>0</v>
      </c>
      <c r="T723" s="322">
        <f t="shared" si="125"/>
        <v>0</v>
      </c>
      <c r="U723" s="140" t="str">
        <f t="shared" si="126"/>
        <v/>
      </c>
      <c r="V723" s="322">
        <f t="shared" si="135"/>
        <v>0</v>
      </c>
      <c r="W723" s="140" t="str">
        <f t="shared" si="127"/>
        <v/>
      </c>
      <c r="X723" s="322">
        <f t="shared" si="128"/>
        <v>0</v>
      </c>
      <c r="Y723" s="140" t="str">
        <f t="shared" si="129"/>
        <v/>
      </c>
      <c r="Z723" s="519">
        <v>0</v>
      </c>
      <c r="AA723" s="111">
        <f t="shared" si="136"/>
        <v>0</v>
      </c>
      <c r="AB723" s="111">
        <f t="shared" si="137"/>
        <v>0</v>
      </c>
    </row>
    <row r="724" spans="1:28" ht="25.5" customHeight="1">
      <c r="A724" s="121" t="s">
        <v>1716</v>
      </c>
      <c r="B724" s="128" t="s">
        <v>210</v>
      </c>
      <c r="C724" s="106" t="s">
        <v>1263</v>
      </c>
      <c r="D724" s="106" t="s">
        <v>1558</v>
      </c>
      <c r="E724" s="540" t="s">
        <v>1718</v>
      </c>
      <c r="F724" s="540" t="s">
        <v>1717</v>
      </c>
      <c r="G724" s="555" t="s">
        <v>810</v>
      </c>
      <c r="H724" s="512" t="s">
        <v>5056</v>
      </c>
      <c r="I724" s="556" t="s">
        <v>3336</v>
      </c>
      <c r="J724" s="557" t="s">
        <v>2909</v>
      </c>
      <c r="K724" s="558" t="s">
        <v>2725</v>
      </c>
      <c r="L724" s="95"/>
      <c r="M724" s="104"/>
      <c r="N724" s="137">
        <v>0</v>
      </c>
      <c r="O724" s="138">
        <v>0</v>
      </c>
      <c r="P724" s="138">
        <v>0</v>
      </c>
      <c r="Q724" s="138">
        <v>0</v>
      </c>
      <c r="R724" s="138">
        <v>0</v>
      </c>
      <c r="S724" s="139">
        <v>0</v>
      </c>
      <c r="T724" s="322">
        <f t="shared" si="125"/>
        <v>0</v>
      </c>
      <c r="U724" s="140" t="str">
        <f t="shared" si="126"/>
        <v/>
      </c>
      <c r="V724" s="322">
        <f t="shared" si="135"/>
        <v>0</v>
      </c>
      <c r="W724" s="140" t="str">
        <f t="shared" si="127"/>
        <v/>
      </c>
      <c r="X724" s="322">
        <f t="shared" si="128"/>
        <v>0</v>
      </c>
      <c r="Y724" s="140" t="str">
        <f t="shared" si="129"/>
        <v/>
      </c>
      <c r="Z724" s="519">
        <v>0</v>
      </c>
      <c r="AA724" s="111">
        <f t="shared" si="136"/>
        <v>0</v>
      </c>
      <c r="AB724" s="111">
        <f t="shared" si="137"/>
        <v>0</v>
      </c>
    </row>
    <row r="725" spans="1:28" ht="25.5" customHeight="1">
      <c r="A725" s="122" t="s">
        <v>1719</v>
      </c>
      <c r="B725" s="129" t="s">
        <v>210</v>
      </c>
      <c r="C725" s="107" t="s">
        <v>3191</v>
      </c>
      <c r="D725" s="107" t="s">
        <v>3185</v>
      </c>
      <c r="E725" s="554" t="s">
        <v>4397</v>
      </c>
      <c r="F725" s="580" t="s">
        <v>4398</v>
      </c>
      <c r="G725" s="555"/>
      <c r="H725" s="555"/>
      <c r="I725" s="556"/>
      <c r="J725" s="557"/>
      <c r="K725" s="558"/>
      <c r="L725" s="95"/>
      <c r="M725" s="104"/>
      <c r="N725" s="137">
        <v>0</v>
      </c>
      <c r="O725" s="138">
        <v>0</v>
      </c>
      <c r="P725" s="138">
        <v>0</v>
      </c>
      <c r="Q725" s="138">
        <v>0</v>
      </c>
      <c r="R725" s="138">
        <v>0</v>
      </c>
      <c r="S725" s="139">
        <v>0</v>
      </c>
      <c r="T725" s="322">
        <f t="shared" si="125"/>
        <v>0</v>
      </c>
      <c r="U725" s="140" t="str">
        <f t="shared" si="126"/>
        <v/>
      </c>
      <c r="V725" s="322">
        <f t="shared" si="135"/>
        <v>0</v>
      </c>
      <c r="W725" s="140" t="str">
        <f t="shared" si="127"/>
        <v/>
      </c>
      <c r="X725" s="322">
        <f t="shared" si="128"/>
        <v>0</v>
      </c>
      <c r="Y725" s="140" t="str">
        <f t="shared" si="129"/>
        <v/>
      </c>
      <c r="Z725" s="519">
        <v>0</v>
      </c>
      <c r="AA725" s="111">
        <f t="shared" si="136"/>
        <v>0</v>
      </c>
      <c r="AB725" s="111">
        <f t="shared" si="137"/>
        <v>0</v>
      </c>
    </row>
    <row r="726" spans="1:28" ht="36.75" customHeight="1">
      <c r="A726" s="121" t="s">
        <v>1720</v>
      </c>
      <c r="B726" s="128" t="s">
        <v>210</v>
      </c>
      <c r="C726" s="106" t="s">
        <v>3191</v>
      </c>
      <c r="D726" s="106" t="s">
        <v>3183</v>
      </c>
      <c r="E726" s="540" t="s">
        <v>3337</v>
      </c>
      <c r="F726" s="539" t="s">
        <v>3338</v>
      </c>
      <c r="G726" s="555" t="s">
        <v>806</v>
      </c>
      <c r="H726" s="512" t="s">
        <v>5057</v>
      </c>
      <c r="I726" s="556" t="s">
        <v>3339</v>
      </c>
      <c r="J726" s="557" t="s">
        <v>2909</v>
      </c>
      <c r="K726" s="558" t="s">
        <v>2725</v>
      </c>
      <c r="L726" s="95"/>
      <c r="M726" s="104"/>
      <c r="N726" s="137">
        <v>749000</v>
      </c>
      <c r="O726" s="138">
        <v>0</v>
      </c>
      <c r="P726" s="138">
        <v>0</v>
      </c>
      <c r="Q726" s="138">
        <v>0</v>
      </c>
      <c r="R726" s="138">
        <v>0</v>
      </c>
      <c r="S726" s="139">
        <v>0</v>
      </c>
      <c r="T726" s="322">
        <f t="shared" si="125"/>
        <v>-749000</v>
      </c>
      <c r="U726" s="140">
        <f t="shared" si="126"/>
        <v>-1</v>
      </c>
      <c r="V726" s="322">
        <f t="shared" si="135"/>
        <v>0</v>
      </c>
      <c r="W726" s="140" t="str">
        <f t="shared" si="127"/>
        <v/>
      </c>
      <c r="X726" s="322">
        <f t="shared" si="128"/>
        <v>0</v>
      </c>
      <c r="Y726" s="140" t="str">
        <f t="shared" si="129"/>
        <v/>
      </c>
      <c r="Z726" s="519">
        <v>0</v>
      </c>
      <c r="AA726" s="111">
        <f t="shared" si="136"/>
        <v>0</v>
      </c>
      <c r="AB726" s="111">
        <f t="shared" si="137"/>
        <v>0</v>
      </c>
    </row>
    <row r="727" spans="1:28" ht="36.75" customHeight="1">
      <c r="A727" s="121" t="s">
        <v>3340</v>
      </c>
      <c r="B727" s="128" t="s">
        <v>210</v>
      </c>
      <c r="C727" s="106" t="s">
        <v>3191</v>
      </c>
      <c r="D727" s="106" t="s">
        <v>3193</v>
      </c>
      <c r="E727" s="540" t="s">
        <v>3341</v>
      </c>
      <c r="F727" s="579" t="s">
        <v>3342</v>
      </c>
      <c r="G727" s="555" t="s">
        <v>807</v>
      </c>
      <c r="H727" s="512" t="s">
        <v>5058</v>
      </c>
      <c r="I727" s="556" t="s">
        <v>3343</v>
      </c>
      <c r="J727" s="557" t="s">
        <v>2909</v>
      </c>
      <c r="K727" s="558" t="s">
        <v>2725</v>
      </c>
      <c r="L727" s="95"/>
      <c r="M727" s="104"/>
      <c r="N727" s="137">
        <v>0</v>
      </c>
      <c r="O727" s="138">
        <v>0</v>
      </c>
      <c r="P727" s="138">
        <v>0</v>
      </c>
      <c r="Q727" s="138">
        <v>0</v>
      </c>
      <c r="R727" s="138">
        <v>0</v>
      </c>
      <c r="S727" s="139">
        <v>0</v>
      </c>
      <c r="T727" s="322">
        <f t="shared" si="125"/>
        <v>0</v>
      </c>
      <c r="U727" s="140" t="str">
        <f t="shared" si="126"/>
        <v/>
      </c>
      <c r="V727" s="322">
        <f t="shared" si="135"/>
        <v>0</v>
      </c>
      <c r="W727" s="140" t="str">
        <f t="shared" si="127"/>
        <v/>
      </c>
      <c r="X727" s="322">
        <f t="shared" si="128"/>
        <v>0</v>
      </c>
      <c r="Y727" s="140" t="str">
        <f t="shared" si="129"/>
        <v/>
      </c>
      <c r="Z727" s="519">
        <v>0</v>
      </c>
      <c r="AA727" s="111">
        <f t="shared" si="136"/>
        <v>0</v>
      </c>
      <c r="AB727" s="111">
        <f t="shared" si="137"/>
        <v>0</v>
      </c>
    </row>
    <row r="728" spans="1:28" ht="26.25" customHeight="1">
      <c r="A728" s="122" t="s">
        <v>1721</v>
      </c>
      <c r="B728" s="129" t="s">
        <v>210</v>
      </c>
      <c r="C728" s="107" t="s">
        <v>3194</v>
      </c>
      <c r="D728" s="107" t="s">
        <v>3185</v>
      </c>
      <c r="E728" s="554" t="s">
        <v>1723</v>
      </c>
      <c r="F728" s="580" t="s">
        <v>1722</v>
      </c>
      <c r="G728" s="555"/>
      <c r="H728" s="555"/>
      <c r="I728" s="556"/>
      <c r="J728" s="557"/>
      <c r="K728" s="558"/>
      <c r="L728" s="95"/>
      <c r="M728" s="104"/>
      <c r="N728" s="137">
        <v>0</v>
      </c>
      <c r="O728" s="138">
        <v>0</v>
      </c>
      <c r="P728" s="138">
        <v>0</v>
      </c>
      <c r="Q728" s="138">
        <v>0</v>
      </c>
      <c r="R728" s="138">
        <v>0</v>
      </c>
      <c r="S728" s="139">
        <v>0</v>
      </c>
      <c r="T728" s="322">
        <f t="shared" si="125"/>
        <v>0</v>
      </c>
      <c r="U728" s="140" t="str">
        <f t="shared" si="126"/>
        <v/>
      </c>
      <c r="V728" s="322">
        <f t="shared" si="135"/>
        <v>0</v>
      </c>
      <c r="W728" s="140" t="str">
        <f t="shared" si="127"/>
        <v/>
      </c>
      <c r="X728" s="322">
        <f t="shared" si="128"/>
        <v>0</v>
      </c>
      <c r="Y728" s="140" t="str">
        <f t="shared" si="129"/>
        <v/>
      </c>
      <c r="Z728" s="519">
        <v>0</v>
      </c>
      <c r="AA728" s="111">
        <f t="shared" si="136"/>
        <v>0</v>
      </c>
      <c r="AB728" s="111">
        <f t="shared" si="137"/>
        <v>0</v>
      </c>
    </row>
    <row r="729" spans="1:28" ht="26.25" customHeight="1">
      <c r="A729" s="121" t="s">
        <v>1724</v>
      </c>
      <c r="B729" s="128" t="s">
        <v>210</v>
      </c>
      <c r="C729" s="106" t="s">
        <v>3194</v>
      </c>
      <c r="D729" s="106" t="s">
        <v>3183</v>
      </c>
      <c r="E729" s="546" t="s">
        <v>5059</v>
      </c>
      <c r="F729" s="579" t="s">
        <v>5349</v>
      </c>
      <c r="G729" s="512" t="s">
        <v>4888</v>
      </c>
      <c r="H729" s="512" t="s">
        <v>5060</v>
      </c>
      <c r="I729" s="541" t="s">
        <v>5061</v>
      </c>
      <c r="J729" s="557" t="s">
        <v>2909</v>
      </c>
      <c r="K729" s="558" t="s">
        <v>2725</v>
      </c>
      <c r="L729" s="95"/>
      <c r="M729" s="104"/>
      <c r="N729" s="137">
        <v>0</v>
      </c>
      <c r="O729" s="138">
        <v>25000</v>
      </c>
      <c r="P729" s="138">
        <v>0</v>
      </c>
      <c r="Q729" s="138">
        <v>0</v>
      </c>
      <c r="R729" s="138">
        <v>0</v>
      </c>
      <c r="S729" s="139">
        <v>0</v>
      </c>
      <c r="T729" s="322">
        <f t="shared" si="125"/>
        <v>0</v>
      </c>
      <c r="U729" s="140" t="str">
        <f t="shared" si="126"/>
        <v/>
      </c>
      <c r="V729" s="322">
        <f t="shared" si="135"/>
        <v>-25000</v>
      </c>
      <c r="W729" s="140">
        <f t="shared" si="127"/>
        <v>-1</v>
      </c>
      <c r="X729" s="322">
        <f t="shared" si="128"/>
        <v>0</v>
      </c>
      <c r="Y729" s="140" t="str">
        <f t="shared" si="129"/>
        <v/>
      </c>
      <c r="Z729" s="519">
        <v>0</v>
      </c>
      <c r="AA729" s="111">
        <f t="shared" si="136"/>
        <v>0</v>
      </c>
      <c r="AB729" s="111">
        <f t="shared" si="137"/>
        <v>0</v>
      </c>
    </row>
    <row r="730" spans="1:28" ht="26.25" customHeight="1">
      <c r="A730" s="122" t="s">
        <v>5062</v>
      </c>
      <c r="B730" s="308" t="s">
        <v>210</v>
      </c>
      <c r="C730" s="307" t="s">
        <v>5063</v>
      </c>
      <c r="D730" s="307" t="s">
        <v>3185</v>
      </c>
      <c r="E730" s="560" t="s">
        <v>5064</v>
      </c>
      <c r="F730" s="584" t="s">
        <v>5350</v>
      </c>
      <c r="G730" s="548"/>
      <c r="H730" s="548"/>
      <c r="I730" s="549"/>
      <c r="J730" s="550"/>
      <c r="K730" s="551"/>
      <c r="L730" s="95"/>
      <c r="M730" s="104"/>
      <c r="N730" s="137">
        <v>0</v>
      </c>
      <c r="O730" s="138">
        <v>0</v>
      </c>
      <c r="P730" s="138">
        <v>0</v>
      </c>
      <c r="Q730" s="138">
        <v>0</v>
      </c>
      <c r="R730" s="138">
        <v>0</v>
      </c>
      <c r="S730" s="139">
        <v>0</v>
      </c>
      <c r="T730" s="322">
        <f t="shared" ref="T730:T731" si="138">IF(N730="","",Q730-N730)</f>
        <v>0</v>
      </c>
      <c r="U730" s="140" t="str">
        <f t="shared" ref="U730:U731" si="139">IF(N730=0,"",T730/N730)</f>
        <v/>
      </c>
      <c r="V730" s="322">
        <f t="shared" si="135"/>
        <v>0</v>
      </c>
      <c r="W730" s="140" t="str">
        <f t="shared" ref="W730:W731" si="140">IF(O730=0,"",V730/O730)</f>
        <v/>
      </c>
      <c r="X730" s="322">
        <f t="shared" ref="X730:X731" si="141">IF(P730="","",Q730-P730)</f>
        <v>0</v>
      </c>
      <c r="Y730" s="140" t="str">
        <f t="shared" ref="Y730:Y731" si="142">IF(P730=0,"",X730/P730)</f>
        <v/>
      </c>
      <c r="Z730" s="519">
        <v>0</v>
      </c>
      <c r="AA730" s="111">
        <f t="shared" si="136"/>
        <v>0</v>
      </c>
      <c r="AB730" s="111">
        <f t="shared" si="137"/>
        <v>0</v>
      </c>
    </row>
    <row r="731" spans="1:28" ht="26.25" customHeight="1">
      <c r="A731" s="121" t="s">
        <v>5065</v>
      </c>
      <c r="B731" s="305" t="s">
        <v>210</v>
      </c>
      <c r="C731" s="306" t="s">
        <v>5063</v>
      </c>
      <c r="D731" s="306" t="s">
        <v>3183</v>
      </c>
      <c r="E731" s="561" t="s">
        <v>5064</v>
      </c>
      <c r="F731" s="583" t="s">
        <v>5351</v>
      </c>
      <c r="G731" s="548" t="s">
        <v>4890</v>
      </c>
      <c r="H731" s="548" t="s">
        <v>5066</v>
      </c>
      <c r="I731" s="549" t="s">
        <v>5067</v>
      </c>
      <c r="J731" s="550" t="s">
        <v>2909</v>
      </c>
      <c r="K731" s="551" t="s">
        <v>2725</v>
      </c>
      <c r="L731" s="95"/>
      <c r="M731" s="104"/>
      <c r="N731" s="137">
        <v>0</v>
      </c>
      <c r="O731" s="138">
        <v>0</v>
      </c>
      <c r="P731" s="138">
        <v>0</v>
      </c>
      <c r="Q731" s="138">
        <v>0</v>
      </c>
      <c r="R731" s="138">
        <v>0</v>
      </c>
      <c r="S731" s="139">
        <v>0</v>
      </c>
      <c r="T731" s="322">
        <f t="shared" si="138"/>
        <v>0</v>
      </c>
      <c r="U731" s="140" t="str">
        <f t="shared" si="139"/>
        <v/>
      </c>
      <c r="V731" s="322">
        <f t="shared" si="135"/>
        <v>0</v>
      </c>
      <c r="W731" s="140" t="str">
        <f t="shared" si="140"/>
        <v/>
      </c>
      <c r="X731" s="322">
        <f t="shared" si="141"/>
        <v>0</v>
      </c>
      <c r="Y731" s="140" t="str">
        <f t="shared" si="142"/>
        <v/>
      </c>
      <c r="Z731" s="519">
        <v>0</v>
      </c>
      <c r="AA731" s="111">
        <f t="shared" si="136"/>
        <v>0</v>
      </c>
      <c r="AB731" s="111">
        <f t="shared" si="137"/>
        <v>0</v>
      </c>
    </row>
    <row r="732" spans="1:28" ht="36.75" customHeight="1">
      <c r="A732" s="122" t="s">
        <v>1725</v>
      </c>
      <c r="B732" s="129" t="s">
        <v>210</v>
      </c>
      <c r="C732" s="107" t="s">
        <v>2227</v>
      </c>
      <c r="D732" s="107" t="s">
        <v>3185</v>
      </c>
      <c r="E732" s="554" t="s">
        <v>2473</v>
      </c>
      <c r="F732" s="580" t="s">
        <v>1726</v>
      </c>
      <c r="G732" s="555"/>
      <c r="H732" s="555"/>
      <c r="I732" s="556"/>
      <c r="J732" s="557"/>
      <c r="K732" s="558"/>
      <c r="L732" s="95"/>
      <c r="M732" s="104"/>
      <c r="N732" s="137">
        <v>0</v>
      </c>
      <c r="O732" s="138">
        <v>0</v>
      </c>
      <c r="P732" s="138">
        <v>0</v>
      </c>
      <c r="Q732" s="138">
        <v>0</v>
      </c>
      <c r="R732" s="138">
        <v>0</v>
      </c>
      <c r="S732" s="139">
        <v>0</v>
      </c>
      <c r="T732" s="322">
        <f t="shared" si="125"/>
        <v>0</v>
      </c>
      <c r="U732" s="140" t="str">
        <f t="shared" si="126"/>
        <v/>
      </c>
      <c r="V732" s="322">
        <f t="shared" si="135"/>
        <v>0</v>
      </c>
      <c r="W732" s="140" t="str">
        <f t="shared" si="127"/>
        <v/>
      </c>
      <c r="X732" s="322">
        <f t="shared" si="128"/>
        <v>0</v>
      </c>
      <c r="Y732" s="140" t="str">
        <f t="shared" si="129"/>
        <v/>
      </c>
      <c r="Z732" s="519">
        <v>0</v>
      </c>
      <c r="AA732" s="111">
        <f t="shared" si="136"/>
        <v>0</v>
      </c>
      <c r="AB732" s="111">
        <f t="shared" si="137"/>
        <v>0</v>
      </c>
    </row>
    <row r="733" spans="1:28" ht="36.75" customHeight="1">
      <c r="A733" s="121" t="s">
        <v>2474</v>
      </c>
      <c r="B733" s="128" t="s">
        <v>210</v>
      </c>
      <c r="C733" s="106" t="s">
        <v>2227</v>
      </c>
      <c r="D733" s="106" t="s">
        <v>3183</v>
      </c>
      <c r="E733" s="559" t="s">
        <v>2473</v>
      </c>
      <c r="F733" s="579" t="s">
        <v>1726</v>
      </c>
      <c r="G733" s="555" t="s">
        <v>811</v>
      </c>
      <c r="H733" s="512" t="s">
        <v>4997</v>
      </c>
      <c r="I733" s="556" t="s">
        <v>2725</v>
      </c>
      <c r="J733" s="557" t="s">
        <v>2909</v>
      </c>
      <c r="K733" s="558" t="s">
        <v>2725</v>
      </c>
      <c r="L733" s="95"/>
      <c r="M733" s="104"/>
      <c r="N733" s="137">
        <v>0</v>
      </c>
      <c r="O733" s="138">
        <v>0</v>
      </c>
      <c r="P733" s="138">
        <v>0</v>
      </c>
      <c r="Q733" s="138">
        <v>0</v>
      </c>
      <c r="R733" s="138">
        <v>0</v>
      </c>
      <c r="S733" s="139">
        <v>0</v>
      </c>
      <c r="T733" s="322">
        <f t="shared" si="125"/>
        <v>0</v>
      </c>
      <c r="U733" s="140" t="str">
        <f t="shared" si="126"/>
        <v/>
      </c>
      <c r="V733" s="322">
        <f t="shared" si="135"/>
        <v>0</v>
      </c>
      <c r="W733" s="140" t="str">
        <f t="shared" si="127"/>
        <v/>
      </c>
      <c r="X733" s="322">
        <f t="shared" si="128"/>
        <v>0</v>
      </c>
      <c r="Y733" s="140" t="str">
        <f t="shared" si="129"/>
        <v/>
      </c>
      <c r="Z733" s="519">
        <v>0</v>
      </c>
      <c r="AA733" s="111">
        <f t="shared" si="136"/>
        <v>0</v>
      </c>
      <c r="AB733" s="111">
        <f t="shared" si="137"/>
        <v>0</v>
      </c>
    </row>
    <row r="734" spans="1:28" ht="21">
      <c r="A734" s="122" t="s">
        <v>2475</v>
      </c>
      <c r="B734" s="129" t="s">
        <v>210</v>
      </c>
      <c r="C734" s="107" t="s">
        <v>2629</v>
      </c>
      <c r="D734" s="107" t="s">
        <v>3185</v>
      </c>
      <c r="E734" s="554" t="s">
        <v>2477</v>
      </c>
      <c r="F734" s="534" t="s">
        <v>2476</v>
      </c>
      <c r="G734" s="555"/>
      <c r="H734" s="555"/>
      <c r="I734" s="556"/>
      <c r="J734" s="557"/>
      <c r="K734" s="558"/>
      <c r="L734" s="95"/>
      <c r="M734" s="104"/>
      <c r="N734" s="137">
        <v>0</v>
      </c>
      <c r="O734" s="138">
        <v>0</v>
      </c>
      <c r="P734" s="138">
        <v>0</v>
      </c>
      <c r="Q734" s="138">
        <v>0</v>
      </c>
      <c r="R734" s="138">
        <v>0</v>
      </c>
      <c r="S734" s="139">
        <v>0</v>
      </c>
      <c r="T734" s="322">
        <f t="shared" si="125"/>
        <v>0</v>
      </c>
      <c r="U734" s="140" t="str">
        <f t="shared" si="126"/>
        <v/>
      </c>
      <c r="V734" s="322">
        <f t="shared" si="135"/>
        <v>0</v>
      </c>
      <c r="W734" s="140" t="str">
        <f t="shared" si="127"/>
        <v/>
      </c>
      <c r="X734" s="322">
        <f t="shared" si="128"/>
        <v>0</v>
      </c>
      <c r="Y734" s="140" t="str">
        <f t="shared" si="129"/>
        <v/>
      </c>
      <c r="Z734" s="519">
        <v>0</v>
      </c>
      <c r="AA734" s="111">
        <f t="shared" si="136"/>
        <v>0</v>
      </c>
      <c r="AB734" s="111">
        <f t="shared" si="137"/>
        <v>0</v>
      </c>
    </row>
    <row r="735" spans="1:28" ht="36.75" customHeight="1">
      <c r="A735" s="121" t="s">
        <v>2478</v>
      </c>
      <c r="B735" s="128" t="s">
        <v>210</v>
      </c>
      <c r="C735" s="106" t="s">
        <v>2629</v>
      </c>
      <c r="D735" s="106" t="s">
        <v>3183</v>
      </c>
      <c r="E735" s="559" t="s">
        <v>2480</v>
      </c>
      <c r="F735" s="579" t="s">
        <v>2479</v>
      </c>
      <c r="G735" s="555" t="s">
        <v>123</v>
      </c>
      <c r="H735" s="512" t="s">
        <v>5068</v>
      </c>
      <c r="I735" s="556" t="s">
        <v>2481</v>
      </c>
      <c r="J735" s="557" t="s">
        <v>2904</v>
      </c>
      <c r="K735" s="558" t="s">
        <v>1480</v>
      </c>
      <c r="L735" s="95"/>
      <c r="M735" s="104"/>
      <c r="N735" s="137">
        <v>22195.94</v>
      </c>
      <c r="O735" s="138">
        <v>650000</v>
      </c>
      <c r="P735" s="138">
        <v>40000</v>
      </c>
      <c r="Q735" s="138">
        <v>40000</v>
      </c>
      <c r="R735" s="138">
        <v>40000</v>
      </c>
      <c r="S735" s="139">
        <v>40000</v>
      </c>
      <c r="T735" s="322">
        <f t="shared" si="125"/>
        <v>17804.060000000001</v>
      </c>
      <c r="U735" s="140">
        <f t="shared" si="126"/>
        <v>0.80213138078405344</v>
      </c>
      <c r="V735" s="322">
        <f t="shared" si="135"/>
        <v>-610000</v>
      </c>
      <c r="W735" s="140">
        <f t="shared" si="127"/>
        <v>-0.93846153846153846</v>
      </c>
      <c r="X735" s="322">
        <f t="shared" si="128"/>
        <v>0</v>
      </c>
      <c r="Y735" s="140">
        <f t="shared" si="129"/>
        <v>0</v>
      </c>
      <c r="Z735" s="519">
        <v>27030.690000000002</v>
      </c>
      <c r="AA735" s="111">
        <f t="shared" si="136"/>
        <v>36040.920000000006</v>
      </c>
      <c r="AB735" s="111">
        <f t="shared" si="137"/>
        <v>3959.0799999999945</v>
      </c>
    </row>
    <row r="736" spans="1:28" ht="26.25" customHeight="1">
      <c r="A736" s="121" t="s">
        <v>2482</v>
      </c>
      <c r="B736" s="128" t="s">
        <v>210</v>
      </c>
      <c r="C736" s="106" t="s">
        <v>2629</v>
      </c>
      <c r="D736" s="106" t="s">
        <v>3193</v>
      </c>
      <c r="E736" s="540" t="s">
        <v>4362</v>
      </c>
      <c r="F736" s="539" t="s">
        <v>3344</v>
      </c>
      <c r="G736" s="555" t="s">
        <v>124</v>
      </c>
      <c r="H736" s="512" t="s">
        <v>5069</v>
      </c>
      <c r="I736" s="556" t="s">
        <v>2483</v>
      </c>
      <c r="J736" s="557" t="s">
        <v>2904</v>
      </c>
      <c r="K736" s="558" t="s">
        <v>1480</v>
      </c>
      <c r="L736" s="95"/>
      <c r="M736" s="104"/>
      <c r="N736" s="137">
        <v>217352.11</v>
      </c>
      <c r="O736" s="138">
        <v>60000</v>
      </c>
      <c r="P736" s="138">
        <v>88000</v>
      </c>
      <c r="Q736" s="138">
        <v>88000</v>
      </c>
      <c r="R736" s="138">
        <v>88000</v>
      </c>
      <c r="S736" s="139">
        <v>88000</v>
      </c>
      <c r="T736" s="322">
        <f t="shared" si="125"/>
        <v>-129352.10999999999</v>
      </c>
      <c r="U736" s="140">
        <f t="shared" si="126"/>
        <v>-0.59512700382802819</v>
      </c>
      <c r="V736" s="322">
        <f t="shared" si="135"/>
        <v>28000</v>
      </c>
      <c r="W736" s="140">
        <f t="shared" si="127"/>
        <v>0.46666666666666667</v>
      </c>
      <c r="X736" s="322">
        <f t="shared" si="128"/>
        <v>0</v>
      </c>
      <c r="Y736" s="140">
        <f t="shared" si="129"/>
        <v>0</v>
      </c>
      <c r="Z736" s="519">
        <v>82412.320000000007</v>
      </c>
      <c r="AA736" s="111">
        <f t="shared" si="136"/>
        <v>109883.09333333334</v>
      </c>
      <c r="AB736" s="111">
        <f t="shared" si="137"/>
        <v>-21883.093333333338</v>
      </c>
    </row>
    <row r="737" spans="1:28" ht="26.25" customHeight="1">
      <c r="A737" s="121" t="s">
        <v>4399</v>
      </c>
      <c r="B737" s="128" t="s">
        <v>210</v>
      </c>
      <c r="C737" s="106" t="s">
        <v>2629</v>
      </c>
      <c r="D737" s="106" t="s">
        <v>1401</v>
      </c>
      <c r="E737" s="540" t="s">
        <v>4400</v>
      </c>
      <c r="F737" s="539" t="s">
        <v>4401</v>
      </c>
      <c r="G737" s="555" t="s">
        <v>127</v>
      </c>
      <c r="H737" s="512" t="s">
        <v>5070</v>
      </c>
      <c r="I737" s="556" t="s">
        <v>1480</v>
      </c>
      <c r="J737" s="557" t="s">
        <v>2904</v>
      </c>
      <c r="K737" s="558" t="s">
        <v>1480</v>
      </c>
      <c r="L737" s="95"/>
      <c r="M737" s="104"/>
      <c r="N737" s="137">
        <v>161274.1</v>
      </c>
      <c r="O737" s="138">
        <v>0</v>
      </c>
      <c r="P737" s="138">
        <v>100000</v>
      </c>
      <c r="Q737" s="138">
        <v>100000</v>
      </c>
      <c r="R737" s="138">
        <v>100000</v>
      </c>
      <c r="S737" s="139">
        <v>100000</v>
      </c>
      <c r="T737" s="322">
        <f t="shared" si="125"/>
        <v>-61274.100000000006</v>
      </c>
      <c r="U737" s="140">
        <f t="shared" si="126"/>
        <v>-0.37993763412724052</v>
      </c>
      <c r="V737" s="322">
        <f t="shared" si="135"/>
        <v>100000</v>
      </c>
      <c r="W737" s="140" t="str">
        <f t="shared" si="127"/>
        <v/>
      </c>
      <c r="X737" s="322">
        <f t="shared" si="128"/>
        <v>0</v>
      </c>
      <c r="Y737" s="140">
        <f t="shared" si="129"/>
        <v>0</v>
      </c>
      <c r="Z737" s="519">
        <v>0</v>
      </c>
      <c r="AA737" s="111">
        <f t="shared" si="136"/>
        <v>0</v>
      </c>
      <c r="AB737" s="111">
        <f t="shared" si="137"/>
        <v>100000</v>
      </c>
    </row>
    <row r="738" spans="1:28" ht="26.25" customHeight="1">
      <c r="A738" s="116" t="s">
        <v>3345</v>
      </c>
      <c r="B738" s="126" t="s">
        <v>210</v>
      </c>
      <c r="C738" s="98" t="s">
        <v>2629</v>
      </c>
      <c r="D738" s="98" t="s">
        <v>2631</v>
      </c>
      <c r="E738" s="540" t="s">
        <v>3346</v>
      </c>
      <c r="F738" s="579" t="s">
        <v>5571</v>
      </c>
      <c r="G738" s="511" t="s">
        <v>125</v>
      </c>
      <c r="H738" s="512" t="s">
        <v>5071</v>
      </c>
      <c r="I738" s="544" t="s">
        <v>3347</v>
      </c>
      <c r="J738" s="557" t="s">
        <v>2904</v>
      </c>
      <c r="K738" s="558" t="s">
        <v>1480</v>
      </c>
      <c r="L738" s="95"/>
      <c r="M738" s="104"/>
      <c r="N738" s="137">
        <v>0</v>
      </c>
      <c r="O738" s="138">
        <v>0</v>
      </c>
      <c r="P738" s="138">
        <v>0</v>
      </c>
      <c r="Q738" s="138">
        <v>0</v>
      </c>
      <c r="R738" s="138">
        <v>0</v>
      </c>
      <c r="S738" s="139">
        <v>0</v>
      </c>
      <c r="T738" s="322">
        <f t="shared" si="125"/>
        <v>0</v>
      </c>
      <c r="U738" s="140" t="str">
        <f t="shared" si="126"/>
        <v/>
      </c>
      <c r="V738" s="322">
        <f t="shared" si="135"/>
        <v>0</v>
      </c>
      <c r="W738" s="140" t="str">
        <f t="shared" si="127"/>
        <v/>
      </c>
      <c r="X738" s="322">
        <f t="shared" si="128"/>
        <v>0</v>
      </c>
      <c r="Y738" s="140" t="str">
        <f t="shared" si="129"/>
        <v/>
      </c>
      <c r="Z738" s="519">
        <v>0</v>
      </c>
      <c r="AA738" s="111">
        <f t="shared" si="136"/>
        <v>0</v>
      </c>
      <c r="AB738" s="111">
        <f t="shared" si="137"/>
        <v>0</v>
      </c>
    </row>
    <row r="739" spans="1:28" ht="26.25" customHeight="1">
      <c r="A739" s="121" t="s">
        <v>3348</v>
      </c>
      <c r="B739" s="126" t="s">
        <v>210</v>
      </c>
      <c r="C739" s="98" t="s">
        <v>2629</v>
      </c>
      <c r="D739" s="98" t="s">
        <v>1404</v>
      </c>
      <c r="E739" s="540" t="s">
        <v>3349</v>
      </c>
      <c r="F739" s="579" t="s">
        <v>3350</v>
      </c>
      <c r="G739" s="511" t="s">
        <v>126</v>
      </c>
      <c r="H739" s="512" t="s">
        <v>5072</v>
      </c>
      <c r="I739" s="544" t="s">
        <v>3351</v>
      </c>
      <c r="J739" s="542" t="s">
        <v>2904</v>
      </c>
      <c r="K739" s="543" t="s">
        <v>1480</v>
      </c>
      <c r="L739" s="95"/>
      <c r="M739" s="104"/>
      <c r="N739" s="137">
        <v>0</v>
      </c>
      <c r="O739" s="138">
        <v>0</v>
      </c>
      <c r="P739" s="138">
        <v>0</v>
      </c>
      <c r="Q739" s="138">
        <v>0</v>
      </c>
      <c r="R739" s="138">
        <v>0</v>
      </c>
      <c r="S739" s="139">
        <v>0</v>
      </c>
      <c r="T739" s="322">
        <f t="shared" ref="T739" si="143">IF(N739="","",Q739-N739)</f>
        <v>0</v>
      </c>
      <c r="U739" s="140" t="str">
        <f t="shared" ref="U739" si="144">IF(N739=0,"",T739/N739)</f>
        <v/>
      </c>
      <c r="V739" s="322">
        <f t="shared" si="135"/>
        <v>0</v>
      </c>
      <c r="W739" s="140" t="str">
        <f t="shared" ref="W739" si="145">IF(O739=0,"",V739/O739)</f>
        <v/>
      </c>
      <c r="X739" s="322">
        <f t="shared" ref="X739" si="146">IF(P739="","",Q739-P739)</f>
        <v>0</v>
      </c>
      <c r="Y739" s="140" t="str">
        <f t="shared" ref="Y739" si="147">IF(P739=0,"",X739/P739)</f>
        <v/>
      </c>
      <c r="Z739" s="519">
        <v>0</v>
      </c>
      <c r="AA739" s="111">
        <f t="shared" si="136"/>
        <v>0</v>
      </c>
      <c r="AB739" s="111">
        <f t="shared" si="137"/>
        <v>0</v>
      </c>
    </row>
    <row r="740" spans="1:28" ht="26.25" customHeight="1">
      <c r="A740" s="121" t="s">
        <v>5073</v>
      </c>
      <c r="B740" s="305" t="s">
        <v>210</v>
      </c>
      <c r="C740" s="306" t="s">
        <v>2629</v>
      </c>
      <c r="D740" s="306" t="s">
        <v>1405</v>
      </c>
      <c r="E740" s="561" t="s">
        <v>5074</v>
      </c>
      <c r="F740" s="583" t="s">
        <v>5352</v>
      </c>
      <c r="G740" s="548" t="s">
        <v>4865</v>
      </c>
      <c r="H740" s="548" t="s">
        <v>5075</v>
      </c>
      <c r="I740" s="549" t="s">
        <v>5076</v>
      </c>
      <c r="J740" s="550" t="s">
        <v>2904</v>
      </c>
      <c r="K740" s="551" t="s">
        <v>1480</v>
      </c>
      <c r="L740" s="95"/>
      <c r="M740" s="104"/>
      <c r="N740" s="137">
        <v>0</v>
      </c>
      <c r="O740" s="138">
        <v>0</v>
      </c>
      <c r="P740" s="138">
        <v>0</v>
      </c>
      <c r="Q740" s="138">
        <v>0</v>
      </c>
      <c r="R740" s="138">
        <v>0</v>
      </c>
      <c r="S740" s="139">
        <v>0</v>
      </c>
      <c r="T740" s="322">
        <f t="shared" si="125"/>
        <v>0</v>
      </c>
      <c r="U740" s="140" t="str">
        <f t="shared" si="126"/>
        <v/>
      </c>
      <c r="V740" s="322">
        <f t="shared" si="135"/>
        <v>0</v>
      </c>
      <c r="W740" s="140" t="str">
        <f t="shared" si="127"/>
        <v/>
      </c>
      <c r="X740" s="322">
        <f t="shared" si="128"/>
        <v>0</v>
      </c>
      <c r="Y740" s="140" t="str">
        <f t="shared" si="129"/>
        <v/>
      </c>
      <c r="Z740" s="519">
        <v>0</v>
      </c>
      <c r="AA740" s="111">
        <f t="shared" si="136"/>
        <v>0</v>
      </c>
      <c r="AB740" s="111">
        <f t="shared" si="137"/>
        <v>0</v>
      </c>
    </row>
    <row r="741" spans="1:28" ht="26.25" customHeight="1">
      <c r="A741" s="121" t="s">
        <v>2484</v>
      </c>
      <c r="B741" s="128" t="s">
        <v>210</v>
      </c>
      <c r="C741" s="106" t="s">
        <v>2629</v>
      </c>
      <c r="D741" s="106" t="s">
        <v>2137</v>
      </c>
      <c r="E741" s="559" t="s">
        <v>2486</v>
      </c>
      <c r="F741" s="559" t="s">
        <v>2485</v>
      </c>
      <c r="G741" s="555" t="s">
        <v>127</v>
      </c>
      <c r="H741" s="512" t="s">
        <v>5070</v>
      </c>
      <c r="I741" s="556" t="s">
        <v>1078</v>
      </c>
      <c r="J741" s="557" t="s">
        <v>2904</v>
      </c>
      <c r="K741" s="558" t="s">
        <v>1480</v>
      </c>
      <c r="L741" s="95"/>
      <c r="M741" s="104"/>
      <c r="N741" s="137">
        <v>0</v>
      </c>
      <c r="O741" s="138">
        <v>0</v>
      </c>
      <c r="P741" s="138">
        <v>0</v>
      </c>
      <c r="Q741" s="138">
        <v>0</v>
      </c>
      <c r="R741" s="138">
        <v>0</v>
      </c>
      <c r="S741" s="139">
        <v>0</v>
      </c>
      <c r="T741" s="322">
        <f t="shared" si="125"/>
        <v>0</v>
      </c>
      <c r="U741" s="140" t="str">
        <f t="shared" si="126"/>
        <v/>
      </c>
      <c r="V741" s="322">
        <f t="shared" si="135"/>
        <v>0</v>
      </c>
      <c r="W741" s="140" t="str">
        <f t="shared" si="127"/>
        <v/>
      </c>
      <c r="X741" s="322">
        <f t="shared" si="128"/>
        <v>0</v>
      </c>
      <c r="Y741" s="140" t="str">
        <f t="shared" si="129"/>
        <v/>
      </c>
      <c r="Z741" s="519">
        <v>0</v>
      </c>
      <c r="AA741" s="111">
        <f t="shared" si="136"/>
        <v>0</v>
      </c>
      <c r="AB741" s="111">
        <f t="shared" si="137"/>
        <v>0</v>
      </c>
    </row>
    <row r="742" spans="1:28" ht="26.25" customHeight="1">
      <c r="A742" s="121" t="s">
        <v>5077</v>
      </c>
      <c r="B742" s="305" t="s">
        <v>210</v>
      </c>
      <c r="C742" s="306" t="s">
        <v>2629</v>
      </c>
      <c r="D742" s="306" t="s">
        <v>5078</v>
      </c>
      <c r="E742" s="561" t="s">
        <v>2831</v>
      </c>
      <c r="F742" s="583" t="s">
        <v>2832</v>
      </c>
      <c r="G742" s="548" t="s">
        <v>4868</v>
      </c>
      <c r="H742" s="548" t="s">
        <v>5079</v>
      </c>
      <c r="I742" s="549" t="s">
        <v>5080</v>
      </c>
      <c r="J742" s="550" t="s">
        <v>2904</v>
      </c>
      <c r="K742" s="551" t="s">
        <v>1480</v>
      </c>
      <c r="L742" s="95"/>
      <c r="M742" s="104"/>
      <c r="N742" s="137">
        <v>0</v>
      </c>
      <c r="O742" s="138">
        <v>0</v>
      </c>
      <c r="P742" s="138">
        <v>0</v>
      </c>
      <c r="Q742" s="138">
        <v>0</v>
      </c>
      <c r="R742" s="138">
        <v>0</v>
      </c>
      <c r="S742" s="139">
        <v>0</v>
      </c>
      <c r="T742" s="322">
        <f t="shared" ref="T742" si="148">IF(N742="","",Q742-N742)</f>
        <v>0</v>
      </c>
      <c r="U742" s="140" t="str">
        <f t="shared" ref="U742" si="149">IF(N742=0,"",T742/N742)</f>
        <v/>
      </c>
      <c r="V742" s="322">
        <f t="shared" si="135"/>
        <v>0</v>
      </c>
      <c r="W742" s="140" t="str">
        <f t="shared" ref="W742" si="150">IF(O742=0,"",V742/O742)</f>
        <v/>
      </c>
      <c r="X742" s="322">
        <f t="shared" ref="X742" si="151">IF(P742="","",Q742-P742)</f>
        <v>0</v>
      </c>
      <c r="Y742" s="140" t="str">
        <f t="shared" ref="Y742" si="152">IF(P742=0,"",X742/P742)</f>
        <v/>
      </c>
      <c r="Z742" s="519">
        <v>0</v>
      </c>
      <c r="AA742" s="111">
        <f t="shared" si="136"/>
        <v>0</v>
      </c>
      <c r="AB742" s="111">
        <f t="shared" si="137"/>
        <v>0</v>
      </c>
    </row>
    <row r="743" spans="1:28" ht="26.25" customHeight="1">
      <c r="A743" s="122" t="s">
        <v>3352</v>
      </c>
      <c r="B743" s="129" t="s">
        <v>210</v>
      </c>
      <c r="C743" s="107" t="s">
        <v>2630</v>
      </c>
      <c r="D743" s="107" t="s">
        <v>3185</v>
      </c>
      <c r="E743" s="554" t="s">
        <v>3353</v>
      </c>
      <c r="F743" s="554" t="s">
        <v>3354</v>
      </c>
      <c r="G743" s="555"/>
      <c r="H743" s="555"/>
      <c r="I743" s="556"/>
      <c r="J743" s="557"/>
      <c r="K743" s="558"/>
      <c r="L743" s="95"/>
      <c r="M743" s="104"/>
      <c r="N743" s="137">
        <v>0</v>
      </c>
      <c r="O743" s="138">
        <v>0</v>
      </c>
      <c r="P743" s="138">
        <v>0</v>
      </c>
      <c r="Q743" s="138">
        <v>0</v>
      </c>
      <c r="R743" s="138">
        <v>0</v>
      </c>
      <c r="S743" s="139">
        <v>0</v>
      </c>
      <c r="T743" s="322">
        <f t="shared" si="125"/>
        <v>0</v>
      </c>
      <c r="U743" s="140" t="str">
        <f t="shared" si="126"/>
        <v/>
      </c>
      <c r="V743" s="322">
        <f t="shared" si="135"/>
        <v>0</v>
      </c>
      <c r="W743" s="140" t="str">
        <f t="shared" si="127"/>
        <v/>
      </c>
      <c r="X743" s="322">
        <f t="shared" si="128"/>
        <v>0</v>
      </c>
      <c r="Y743" s="140" t="str">
        <f t="shared" si="129"/>
        <v/>
      </c>
      <c r="Z743" s="519">
        <v>0</v>
      </c>
      <c r="AA743" s="111">
        <f t="shared" si="136"/>
        <v>0</v>
      </c>
      <c r="AB743" s="111">
        <f t="shared" si="137"/>
        <v>0</v>
      </c>
    </row>
    <row r="744" spans="1:28" ht="48.75" customHeight="1">
      <c r="A744" s="121" t="s">
        <v>5081</v>
      </c>
      <c r="B744" s="305" t="s">
        <v>210</v>
      </c>
      <c r="C744" s="306" t="s">
        <v>2630</v>
      </c>
      <c r="D744" s="306" t="s">
        <v>3099</v>
      </c>
      <c r="E744" s="561" t="s">
        <v>5082</v>
      </c>
      <c r="F744" s="561" t="s">
        <v>5210</v>
      </c>
      <c r="G744" s="548" t="s">
        <v>4872</v>
      </c>
      <c r="H744" s="548" t="s">
        <v>5083</v>
      </c>
      <c r="I744" s="549" t="s">
        <v>5084</v>
      </c>
      <c r="J744" s="550" t="s">
        <v>2907</v>
      </c>
      <c r="K744" s="551" t="s">
        <v>2908</v>
      </c>
      <c r="L744" s="95"/>
      <c r="M744" s="104"/>
      <c r="N744" s="137">
        <v>0</v>
      </c>
      <c r="O744" s="138">
        <v>0</v>
      </c>
      <c r="P744" s="138">
        <v>0</v>
      </c>
      <c r="Q744" s="138">
        <v>0</v>
      </c>
      <c r="R744" s="138">
        <v>0</v>
      </c>
      <c r="S744" s="139">
        <v>0</v>
      </c>
      <c r="T744" s="322">
        <f t="shared" ref="T744" si="153">IF(N744="","",Q744-N744)</f>
        <v>0</v>
      </c>
      <c r="U744" s="140" t="str">
        <f t="shared" ref="U744" si="154">IF(N744=0,"",T744/N744)</f>
        <v/>
      </c>
      <c r="V744" s="322">
        <f t="shared" si="135"/>
        <v>0</v>
      </c>
      <c r="W744" s="140" t="str">
        <f t="shared" ref="W744" si="155">IF(O744=0,"",V744/O744)</f>
        <v/>
      </c>
      <c r="X744" s="322">
        <f t="shared" ref="X744" si="156">IF(P744="","",Q744-P744)</f>
        <v>0</v>
      </c>
      <c r="Y744" s="140" t="str">
        <f t="shared" ref="Y744" si="157">IF(P744=0,"",X744/P744)</f>
        <v/>
      </c>
      <c r="Z744" s="519">
        <v>0</v>
      </c>
      <c r="AA744" s="111">
        <f t="shared" si="136"/>
        <v>0</v>
      </c>
      <c r="AB744" s="111">
        <f t="shared" si="137"/>
        <v>0</v>
      </c>
    </row>
    <row r="745" spans="1:28" ht="36.75" customHeight="1">
      <c r="A745" s="121" t="s">
        <v>3355</v>
      </c>
      <c r="B745" s="128" t="s">
        <v>210</v>
      </c>
      <c r="C745" s="106" t="s">
        <v>2630</v>
      </c>
      <c r="D745" s="106" t="s">
        <v>3183</v>
      </c>
      <c r="E745" s="559" t="s">
        <v>3356</v>
      </c>
      <c r="F745" s="559" t="s">
        <v>3357</v>
      </c>
      <c r="G745" s="555" t="s">
        <v>130</v>
      </c>
      <c r="H745" s="512" t="s">
        <v>5085</v>
      </c>
      <c r="I745" s="556" t="s">
        <v>3358</v>
      </c>
      <c r="J745" s="557" t="s">
        <v>2907</v>
      </c>
      <c r="K745" s="558" t="s">
        <v>2908</v>
      </c>
      <c r="L745" s="95"/>
      <c r="M745" s="104"/>
      <c r="N745" s="137">
        <v>0</v>
      </c>
      <c r="O745" s="138">
        <v>0</v>
      </c>
      <c r="P745" s="138">
        <v>0</v>
      </c>
      <c r="Q745" s="138">
        <v>0</v>
      </c>
      <c r="R745" s="138">
        <v>0</v>
      </c>
      <c r="S745" s="139">
        <v>0</v>
      </c>
      <c r="T745" s="322">
        <f t="shared" si="125"/>
        <v>0</v>
      </c>
      <c r="U745" s="140" t="str">
        <f t="shared" si="126"/>
        <v/>
      </c>
      <c r="V745" s="322">
        <f t="shared" si="135"/>
        <v>0</v>
      </c>
      <c r="W745" s="140" t="str">
        <f t="shared" si="127"/>
        <v/>
      </c>
      <c r="X745" s="322">
        <f t="shared" si="128"/>
        <v>0</v>
      </c>
      <c r="Y745" s="140" t="str">
        <f t="shared" si="129"/>
        <v/>
      </c>
      <c r="Z745" s="519">
        <v>0</v>
      </c>
      <c r="AA745" s="111">
        <f t="shared" si="136"/>
        <v>0</v>
      </c>
      <c r="AB745" s="111">
        <f t="shared" si="137"/>
        <v>0</v>
      </c>
    </row>
    <row r="746" spans="1:28" ht="36.75" customHeight="1">
      <c r="A746" s="121" t="s">
        <v>3359</v>
      </c>
      <c r="B746" s="126" t="s">
        <v>210</v>
      </c>
      <c r="C746" s="98" t="s">
        <v>2630</v>
      </c>
      <c r="D746" s="98" t="s">
        <v>2138</v>
      </c>
      <c r="E746" s="540" t="s">
        <v>3360</v>
      </c>
      <c r="F746" s="539" t="s">
        <v>3361</v>
      </c>
      <c r="G746" s="511" t="s">
        <v>801</v>
      </c>
      <c r="H746" s="512" t="s">
        <v>5086</v>
      </c>
      <c r="I746" s="544" t="s">
        <v>3362</v>
      </c>
      <c r="J746" s="542" t="s">
        <v>2907</v>
      </c>
      <c r="K746" s="543" t="s">
        <v>2908</v>
      </c>
      <c r="L746" s="95"/>
      <c r="M746" s="104"/>
      <c r="N746" s="137">
        <v>0</v>
      </c>
      <c r="O746" s="138">
        <v>0</v>
      </c>
      <c r="P746" s="138">
        <v>0</v>
      </c>
      <c r="Q746" s="138">
        <v>0</v>
      </c>
      <c r="R746" s="138">
        <v>0</v>
      </c>
      <c r="S746" s="139">
        <v>0</v>
      </c>
      <c r="T746" s="322">
        <f t="shared" si="125"/>
        <v>0</v>
      </c>
      <c r="U746" s="140" t="str">
        <f t="shared" si="126"/>
        <v/>
      </c>
      <c r="V746" s="322">
        <f t="shared" si="135"/>
        <v>0</v>
      </c>
      <c r="W746" s="140" t="str">
        <f t="shared" si="127"/>
        <v/>
      </c>
      <c r="X746" s="322">
        <f t="shared" si="128"/>
        <v>0</v>
      </c>
      <c r="Y746" s="140" t="str">
        <f t="shared" si="129"/>
        <v/>
      </c>
      <c r="Z746" s="519">
        <v>0</v>
      </c>
      <c r="AA746" s="111">
        <f t="shared" si="136"/>
        <v>0</v>
      </c>
      <c r="AB746" s="111">
        <f t="shared" si="137"/>
        <v>0</v>
      </c>
    </row>
    <row r="747" spans="1:28" ht="36.75" customHeight="1">
      <c r="A747" s="121" t="s">
        <v>3363</v>
      </c>
      <c r="B747" s="128" t="s">
        <v>210</v>
      </c>
      <c r="C747" s="106" t="s">
        <v>2630</v>
      </c>
      <c r="D747" s="106" t="s">
        <v>3193</v>
      </c>
      <c r="E747" s="559" t="s">
        <v>5572</v>
      </c>
      <c r="F747" s="579" t="s">
        <v>5353</v>
      </c>
      <c r="G747" s="555" t="s">
        <v>801</v>
      </c>
      <c r="H747" s="512" t="s">
        <v>5086</v>
      </c>
      <c r="I747" s="556" t="s">
        <v>3362</v>
      </c>
      <c r="J747" s="557" t="s">
        <v>2907</v>
      </c>
      <c r="K747" s="558" t="s">
        <v>2908</v>
      </c>
      <c r="L747" s="95"/>
      <c r="M747" s="104"/>
      <c r="N747" s="137">
        <v>0</v>
      </c>
      <c r="O747" s="138">
        <v>0</v>
      </c>
      <c r="P747" s="138">
        <v>0</v>
      </c>
      <c r="Q747" s="138">
        <v>0</v>
      </c>
      <c r="R747" s="138">
        <v>0</v>
      </c>
      <c r="S747" s="139">
        <v>0</v>
      </c>
      <c r="T747" s="322">
        <f t="shared" si="125"/>
        <v>0</v>
      </c>
      <c r="U747" s="140" t="str">
        <f t="shared" si="126"/>
        <v/>
      </c>
      <c r="V747" s="322">
        <f t="shared" si="135"/>
        <v>0</v>
      </c>
      <c r="W747" s="140" t="str">
        <f t="shared" si="127"/>
        <v/>
      </c>
      <c r="X747" s="322">
        <f t="shared" si="128"/>
        <v>0</v>
      </c>
      <c r="Y747" s="140" t="str">
        <f t="shared" si="129"/>
        <v/>
      </c>
      <c r="Z747" s="519">
        <v>0</v>
      </c>
      <c r="AA747" s="111">
        <f t="shared" si="136"/>
        <v>0</v>
      </c>
      <c r="AB747" s="111">
        <f t="shared" si="137"/>
        <v>0</v>
      </c>
    </row>
    <row r="748" spans="1:28" ht="26.25" customHeight="1">
      <c r="A748" s="121" t="s">
        <v>3364</v>
      </c>
      <c r="B748" s="128" t="s">
        <v>210</v>
      </c>
      <c r="C748" s="106" t="s">
        <v>2630</v>
      </c>
      <c r="D748" s="106" t="s">
        <v>2631</v>
      </c>
      <c r="E748" s="559" t="s">
        <v>3365</v>
      </c>
      <c r="F748" s="559" t="s">
        <v>3366</v>
      </c>
      <c r="G748" s="555" t="s">
        <v>802</v>
      </c>
      <c r="H748" s="512" t="s">
        <v>5087</v>
      </c>
      <c r="I748" s="556" t="s">
        <v>2826</v>
      </c>
      <c r="J748" s="557" t="s">
        <v>2907</v>
      </c>
      <c r="K748" s="558" t="s">
        <v>2908</v>
      </c>
      <c r="L748" s="95"/>
      <c r="M748" s="104"/>
      <c r="N748" s="137">
        <v>78942.33</v>
      </c>
      <c r="O748" s="138">
        <v>0</v>
      </c>
      <c r="P748" s="138">
        <v>0</v>
      </c>
      <c r="Q748" s="138">
        <v>0</v>
      </c>
      <c r="R748" s="138">
        <v>0</v>
      </c>
      <c r="S748" s="139">
        <v>0</v>
      </c>
      <c r="T748" s="322">
        <f t="shared" ref="T748:T813" si="158">IF(N748="","",Q748-N748)</f>
        <v>-78942.33</v>
      </c>
      <c r="U748" s="140">
        <f t="shared" ref="U748:U813" si="159">IF(N748=0,"",T748/N748)</f>
        <v>-1</v>
      </c>
      <c r="V748" s="322">
        <f t="shared" si="135"/>
        <v>0</v>
      </c>
      <c r="W748" s="140" t="str">
        <f t="shared" ref="W748:W813" si="160">IF(O748=0,"",V748/O748)</f>
        <v/>
      </c>
      <c r="X748" s="322">
        <f t="shared" ref="X748:X813" si="161">IF(P748="","",Q748-P748)</f>
        <v>0</v>
      </c>
      <c r="Y748" s="140" t="str">
        <f t="shared" ref="Y748:Y813" si="162">IF(P748=0,"",X748/P748)</f>
        <v/>
      </c>
      <c r="Z748" s="519">
        <v>0</v>
      </c>
      <c r="AA748" s="111">
        <f t="shared" si="136"/>
        <v>0</v>
      </c>
      <c r="AB748" s="111">
        <f t="shared" si="137"/>
        <v>0</v>
      </c>
    </row>
    <row r="749" spans="1:28" ht="36.75" customHeight="1">
      <c r="A749" s="121" t="s">
        <v>2827</v>
      </c>
      <c r="B749" s="128" t="s">
        <v>210</v>
      </c>
      <c r="C749" s="106" t="s">
        <v>2630</v>
      </c>
      <c r="D749" s="106" t="s">
        <v>1404</v>
      </c>
      <c r="E749" s="559" t="s">
        <v>2828</v>
      </c>
      <c r="F749" s="559" t="s">
        <v>2829</v>
      </c>
      <c r="G749" s="511" t="s">
        <v>803</v>
      </c>
      <c r="H749" s="512" t="s">
        <v>5088</v>
      </c>
      <c r="I749" s="544" t="s">
        <v>2830</v>
      </c>
      <c r="J749" s="542" t="s">
        <v>2907</v>
      </c>
      <c r="K749" s="543" t="s">
        <v>2908</v>
      </c>
      <c r="L749" s="95"/>
      <c r="M749" s="104"/>
      <c r="N749" s="137">
        <v>0</v>
      </c>
      <c r="O749" s="138">
        <v>0</v>
      </c>
      <c r="P749" s="138">
        <v>0</v>
      </c>
      <c r="Q749" s="138">
        <v>0</v>
      </c>
      <c r="R749" s="138">
        <v>0</v>
      </c>
      <c r="S749" s="139">
        <v>0</v>
      </c>
      <c r="T749" s="322">
        <f t="shared" ref="T749" si="163">IF(N749="","",Q749-N749)</f>
        <v>0</v>
      </c>
      <c r="U749" s="140" t="str">
        <f t="shared" ref="U749" si="164">IF(N749=0,"",T749/N749)</f>
        <v/>
      </c>
      <c r="V749" s="322">
        <f t="shared" si="135"/>
        <v>0</v>
      </c>
      <c r="W749" s="140" t="str">
        <f t="shared" ref="W749" si="165">IF(O749=0,"",V749/O749)</f>
        <v/>
      </c>
      <c r="X749" s="322">
        <f t="shared" ref="X749" si="166">IF(P749="","",Q749-P749)</f>
        <v>0</v>
      </c>
      <c r="Y749" s="140" t="str">
        <f t="shared" ref="Y749" si="167">IF(P749=0,"",X749/P749)</f>
        <v/>
      </c>
      <c r="Z749" s="519">
        <v>0</v>
      </c>
      <c r="AA749" s="111">
        <f t="shared" si="136"/>
        <v>0</v>
      </c>
      <c r="AB749" s="111">
        <f t="shared" si="137"/>
        <v>0</v>
      </c>
    </row>
    <row r="750" spans="1:28" ht="27.75" customHeight="1">
      <c r="A750" s="121" t="s">
        <v>5089</v>
      </c>
      <c r="B750" s="305" t="s">
        <v>210</v>
      </c>
      <c r="C750" s="306" t="s">
        <v>2630</v>
      </c>
      <c r="D750" s="306" t="s">
        <v>1405</v>
      </c>
      <c r="E750" s="561" t="s">
        <v>5090</v>
      </c>
      <c r="F750" s="561" t="s">
        <v>5091</v>
      </c>
      <c r="G750" s="548" t="s">
        <v>4878</v>
      </c>
      <c r="H750" s="548" t="s">
        <v>5092</v>
      </c>
      <c r="I750" s="549" t="s">
        <v>5093</v>
      </c>
      <c r="J750" s="550" t="s">
        <v>2907</v>
      </c>
      <c r="K750" s="551" t="s">
        <v>2908</v>
      </c>
      <c r="L750" s="95"/>
      <c r="M750" s="104"/>
      <c r="N750" s="137">
        <v>0</v>
      </c>
      <c r="O750" s="138">
        <v>0</v>
      </c>
      <c r="P750" s="138">
        <v>0</v>
      </c>
      <c r="Q750" s="138">
        <v>0</v>
      </c>
      <c r="R750" s="138">
        <v>0</v>
      </c>
      <c r="S750" s="139">
        <v>0</v>
      </c>
      <c r="T750" s="322">
        <f t="shared" si="158"/>
        <v>0</v>
      </c>
      <c r="U750" s="140" t="str">
        <f t="shared" si="159"/>
        <v/>
      </c>
      <c r="V750" s="322">
        <f t="shared" si="135"/>
        <v>0</v>
      </c>
      <c r="W750" s="140" t="str">
        <f t="shared" si="160"/>
        <v/>
      </c>
      <c r="X750" s="322">
        <f t="shared" si="161"/>
        <v>0</v>
      </c>
      <c r="Y750" s="140" t="str">
        <f t="shared" si="162"/>
        <v/>
      </c>
      <c r="Z750" s="519">
        <v>0</v>
      </c>
      <c r="AA750" s="111">
        <f t="shared" si="136"/>
        <v>0</v>
      </c>
      <c r="AB750" s="111">
        <f t="shared" si="137"/>
        <v>0</v>
      </c>
    </row>
    <row r="751" spans="1:28" ht="16.5" customHeight="1">
      <c r="A751" s="122" t="s">
        <v>2487</v>
      </c>
      <c r="B751" s="129" t="s">
        <v>210</v>
      </c>
      <c r="C751" s="107" t="s">
        <v>2139</v>
      </c>
      <c r="D751" s="107" t="s">
        <v>3185</v>
      </c>
      <c r="E751" s="554" t="s">
        <v>2489</v>
      </c>
      <c r="F751" s="554" t="s">
        <v>2488</v>
      </c>
      <c r="G751" s="555"/>
      <c r="H751" s="555"/>
      <c r="I751" s="556"/>
      <c r="J751" s="557"/>
      <c r="K751" s="558"/>
      <c r="L751" s="95"/>
      <c r="M751" s="104"/>
      <c r="N751" s="137">
        <v>0</v>
      </c>
      <c r="O751" s="138">
        <v>0</v>
      </c>
      <c r="P751" s="138">
        <v>0</v>
      </c>
      <c r="Q751" s="138">
        <v>0</v>
      </c>
      <c r="R751" s="138">
        <v>0</v>
      </c>
      <c r="S751" s="139">
        <v>0</v>
      </c>
      <c r="T751" s="322">
        <f t="shared" si="158"/>
        <v>0</v>
      </c>
      <c r="U751" s="140" t="str">
        <f t="shared" si="159"/>
        <v/>
      </c>
      <c r="V751" s="322">
        <f t="shared" si="135"/>
        <v>0</v>
      </c>
      <c r="W751" s="140" t="str">
        <f t="shared" si="160"/>
        <v/>
      </c>
      <c r="X751" s="322">
        <f t="shared" si="161"/>
        <v>0</v>
      </c>
      <c r="Y751" s="140" t="str">
        <f t="shared" si="162"/>
        <v/>
      </c>
      <c r="Z751" s="519">
        <v>0</v>
      </c>
      <c r="AA751" s="111">
        <f t="shared" si="136"/>
        <v>0</v>
      </c>
      <c r="AB751" s="111">
        <f t="shared" si="137"/>
        <v>0</v>
      </c>
    </row>
    <row r="752" spans="1:28" ht="30.75" customHeight="1">
      <c r="A752" s="121" t="s">
        <v>5211</v>
      </c>
      <c r="B752" s="313" t="s">
        <v>210</v>
      </c>
      <c r="C752" s="314" t="s">
        <v>2139</v>
      </c>
      <c r="D752" s="314" t="s">
        <v>1405</v>
      </c>
      <c r="E752" s="563" t="s">
        <v>2831</v>
      </c>
      <c r="F752" s="563" t="s">
        <v>2832</v>
      </c>
      <c r="G752" s="564" t="s">
        <v>805</v>
      </c>
      <c r="H752" s="564" t="s">
        <v>5212</v>
      </c>
      <c r="I752" s="565" t="s">
        <v>5213</v>
      </c>
      <c r="J752" s="566" t="s">
        <v>2909</v>
      </c>
      <c r="K752" s="567" t="s">
        <v>2725</v>
      </c>
      <c r="L752" s="95"/>
      <c r="M752" s="104"/>
      <c r="N752" s="137">
        <v>0</v>
      </c>
      <c r="O752" s="138">
        <v>0</v>
      </c>
      <c r="P752" s="138">
        <v>0</v>
      </c>
      <c r="Q752" s="138">
        <v>0</v>
      </c>
      <c r="R752" s="138">
        <v>0</v>
      </c>
      <c r="S752" s="139">
        <v>0</v>
      </c>
      <c r="T752" s="322">
        <f t="shared" ref="T752" si="168">IF(N752="","",Q752-N752)</f>
        <v>0</v>
      </c>
      <c r="U752" s="140" t="str">
        <f t="shared" ref="U752" si="169">IF(N752=0,"",T752/N752)</f>
        <v/>
      </c>
      <c r="V752" s="322">
        <f t="shared" si="135"/>
        <v>0</v>
      </c>
      <c r="W752" s="140" t="str">
        <f t="shared" ref="W752" si="170">IF(O752=0,"",V752/O752)</f>
        <v/>
      </c>
      <c r="X752" s="322">
        <f t="shared" ref="X752" si="171">IF(P752="","",Q752-P752)</f>
        <v>0</v>
      </c>
      <c r="Y752" s="140" t="str">
        <f t="shared" ref="Y752" si="172">IF(P752=0,"",X752/P752)</f>
        <v/>
      </c>
      <c r="Z752" s="519">
        <v>0</v>
      </c>
      <c r="AA752" s="111">
        <f t="shared" si="136"/>
        <v>0</v>
      </c>
      <c r="AB752" s="111">
        <f t="shared" si="137"/>
        <v>0</v>
      </c>
    </row>
    <row r="753" spans="1:28" ht="16.5" customHeight="1">
      <c r="A753" s="121" t="s">
        <v>2490</v>
      </c>
      <c r="B753" s="128" t="s">
        <v>210</v>
      </c>
      <c r="C753" s="106" t="s">
        <v>2139</v>
      </c>
      <c r="D753" s="106" t="s">
        <v>2137</v>
      </c>
      <c r="E753" s="559" t="s">
        <v>2491</v>
      </c>
      <c r="F753" s="559" t="s">
        <v>2488</v>
      </c>
      <c r="G753" s="555" t="s">
        <v>811</v>
      </c>
      <c r="H753" s="512" t="s">
        <v>4997</v>
      </c>
      <c r="I753" s="556" t="s">
        <v>2725</v>
      </c>
      <c r="J753" s="557" t="s">
        <v>2909</v>
      </c>
      <c r="K753" s="558" t="s">
        <v>2725</v>
      </c>
      <c r="L753" s="95"/>
      <c r="M753" s="104"/>
      <c r="N753" s="137">
        <v>745903.69</v>
      </c>
      <c r="O753" s="138">
        <v>0</v>
      </c>
      <c r="P753" s="138">
        <v>0</v>
      </c>
      <c r="Q753" s="138">
        <v>0</v>
      </c>
      <c r="R753" s="138">
        <v>0</v>
      </c>
      <c r="S753" s="139">
        <v>0</v>
      </c>
      <c r="T753" s="322">
        <f t="shared" si="158"/>
        <v>-745903.69</v>
      </c>
      <c r="U753" s="140">
        <f t="shared" si="159"/>
        <v>-1</v>
      </c>
      <c r="V753" s="322">
        <f t="shared" si="135"/>
        <v>0</v>
      </c>
      <c r="W753" s="140" t="str">
        <f t="shared" si="160"/>
        <v/>
      </c>
      <c r="X753" s="322">
        <f t="shared" si="161"/>
        <v>0</v>
      </c>
      <c r="Y753" s="140" t="str">
        <f t="shared" si="162"/>
        <v/>
      </c>
      <c r="Z753" s="519">
        <v>0</v>
      </c>
      <c r="AA753" s="111">
        <f t="shared" si="136"/>
        <v>0</v>
      </c>
      <c r="AB753" s="111">
        <f t="shared" si="137"/>
        <v>0</v>
      </c>
    </row>
    <row r="754" spans="1:28" ht="18" customHeight="1">
      <c r="A754" s="113" t="s">
        <v>2492</v>
      </c>
      <c r="B754" s="135" t="s">
        <v>3281</v>
      </c>
      <c r="C754" s="136" t="s">
        <v>3184</v>
      </c>
      <c r="D754" s="136" t="s">
        <v>3185</v>
      </c>
      <c r="E754" s="529" t="s">
        <v>2494</v>
      </c>
      <c r="F754" s="529" t="s">
        <v>2493</v>
      </c>
      <c r="G754" s="530"/>
      <c r="H754" s="530"/>
      <c r="I754" s="531"/>
      <c r="J754" s="532"/>
      <c r="K754" s="533"/>
      <c r="L754" s="95"/>
      <c r="M754" s="147"/>
      <c r="N754" s="137">
        <v>0</v>
      </c>
      <c r="O754" s="138">
        <v>0</v>
      </c>
      <c r="P754" s="138">
        <v>0</v>
      </c>
      <c r="Q754" s="138">
        <v>0</v>
      </c>
      <c r="R754" s="138">
        <v>0</v>
      </c>
      <c r="S754" s="139">
        <v>0</v>
      </c>
      <c r="T754" s="322">
        <f t="shared" si="158"/>
        <v>0</v>
      </c>
      <c r="U754" s="140" t="str">
        <f t="shared" si="159"/>
        <v/>
      </c>
      <c r="V754" s="322">
        <f t="shared" si="135"/>
        <v>0</v>
      </c>
      <c r="W754" s="140" t="str">
        <f t="shared" si="160"/>
        <v/>
      </c>
      <c r="X754" s="322">
        <f t="shared" si="161"/>
        <v>0</v>
      </c>
      <c r="Y754" s="140" t="str">
        <f t="shared" si="162"/>
        <v/>
      </c>
      <c r="Z754" s="519">
        <v>0</v>
      </c>
      <c r="AA754" s="111">
        <f t="shared" si="136"/>
        <v>0</v>
      </c>
      <c r="AB754" s="111">
        <f t="shared" si="137"/>
        <v>0</v>
      </c>
    </row>
    <row r="755" spans="1:28" ht="18" customHeight="1">
      <c r="A755" s="122" t="s">
        <v>2495</v>
      </c>
      <c r="B755" s="129" t="s">
        <v>3281</v>
      </c>
      <c r="C755" s="107" t="s">
        <v>3186</v>
      </c>
      <c r="D755" s="107" t="s">
        <v>3185</v>
      </c>
      <c r="E755" s="554" t="s">
        <v>2496</v>
      </c>
      <c r="F755" s="554" t="s">
        <v>5354</v>
      </c>
      <c r="G755" s="555"/>
      <c r="H755" s="555"/>
      <c r="I755" s="556"/>
      <c r="J755" s="557"/>
      <c r="K755" s="558"/>
      <c r="L755" s="95"/>
      <c r="M755" s="104"/>
      <c r="N755" s="137">
        <v>0</v>
      </c>
      <c r="O755" s="138">
        <v>0</v>
      </c>
      <c r="P755" s="138">
        <v>0</v>
      </c>
      <c r="Q755" s="138">
        <v>0</v>
      </c>
      <c r="R755" s="138">
        <v>0</v>
      </c>
      <c r="S755" s="139">
        <v>0</v>
      </c>
      <c r="T755" s="322">
        <f t="shared" si="158"/>
        <v>0</v>
      </c>
      <c r="U755" s="140" t="str">
        <f t="shared" si="159"/>
        <v/>
      </c>
      <c r="V755" s="322">
        <f t="shared" si="135"/>
        <v>0</v>
      </c>
      <c r="W755" s="140" t="str">
        <f t="shared" si="160"/>
        <v/>
      </c>
      <c r="X755" s="322">
        <f t="shared" si="161"/>
        <v>0</v>
      </c>
      <c r="Y755" s="140" t="str">
        <f t="shared" si="162"/>
        <v/>
      </c>
      <c r="Z755" s="519">
        <v>0</v>
      </c>
      <c r="AA755" s="111">
        <f t="shared" si="136"/>
        <v>0</v>
      </c>
      <c r="AB755" s="111">
        <f t="shared" si="137"/>
        <v>0</v>
      </c>
    </row>
    <row r="756" spans="1:28" ht="18" customHeight="1">
      <c r="A756" s="121" t="s">
        <v>2497</v>
      </c>
      <c r="B756" s="128" t="s">
        <v>3281</v>
      </c>
      <c r="C756" s="106" t="s">
        <v>3186</v>
      </c>
      <c r="D756" s="106" t="s">
        <v>3183</v>
      </c>
      <c r="E756" s="559" t="s">
        <v>2496</v>
      </c>
      <c r="F756" s="559" t="s">
        <v>5354</v>
      </c>
      <c r="G756" s="555" t="s">
        <v>837</v>
      </c>
      <c r="H756" s="555" t="s">
        <v>3367</v>
      </c>
      <c r="I756" s="556" t="s">
        <v>3368</v>
      </c>
      <c r="J756" s="557" t="s">
        <v>2914</v>
      </c>
      <c r="K756" s="558" t="s">
        <v>2915</v>
      </c>
      <c r="L756" s="95"/>
      <c r="M756" s="104"/>
      <c r="N756" s="137">
        <v>0</v>
      </c>
      <c r="O756" s="138">
        <v>50000</v>
      </c>
      <c r="P756" s="138">
        <v>25000</v>
      </c>
      <c r="Q756" s="138">
        <v>10000</v>
      </c>
      <c r="R756" s="138">
        <v>10000</v>
      </c>
      <c r="S756" s="139">
        <v>10000</v>
      </c>
      <c r="T756" s="322">
        <f t="shared" si="158"/>
        <v>10000</v>
      </c>
      <c r="U756" s="140" t="str">
        <f t="shared" si="159"/>
        <v/>
      </c>
      <c r="V756" s="322">
        <f t="shared" si="135"/>
        <v>-40000</v>
      </c>
      <c r="W756" s="140">
        <f t="shared" si="160"/>
        <v>-0.8</v>
      </c>
      <c r="X756" s="322">
        <f t="shared" si="161"/>
        <v>-15000</v>
      </c>
      <c r="Y756" s="140">
        <f t="shared" si="162"/>
        <v>-0.6</v>
      </c>
      <c r="Z756" s="519">
        <v>17815.45</v>
      </c>
      <c r="AA756" s="111">
        <f t="shared" si="136"/>
        <v>23753.933333333334</v>
      </c>
      <c r="AB756" s="111">
        <f t="shared" si="137"/>
        <v>1246.0666666666657</v>
      </c>
    </row>
    <row r="757" spans="1:28" ht="18" customHeight="1">
      <c r="A757" s="122" t="s">
        <v>2499</v>
      </c>
      <c r="B757" s="129" t="s">
        <v>3281</v>
      </c>
      <c r="C757" s="107" t="s">
        <v>3187</v>
      </c>
      <c r="D757" s="107" t="s">
        <v>3185</v>
      </c>
      <c r="E757" s="554" t="s">
        <v>2501</v>
      </c>
      <c r="F757" s="580" t="s">
        <v>2500</v>
      </c>
      <c r="G757" s="555"/>
      <c r="H757" s="555"/>
      <c r="I757" s="556"/>
      <c r="J757" s="557"/>
      <c r="K757" s="558"/>
      <c r="L757" s="95"/>
      <c r="M757" s="104"/>
      <c r="N757" s="137">
        <v>0</v>
      </c>
      <c r="O757" s="138">
        <v>0</v>
      </c>
      <c r="P757" s="138">
        <v>0</v>
      </c>
      <c r="Q757" s="138">
        <v>0</v>
      </c>
      <c r="R757" s="138">
        <v>0</v>
      </c>
      <c r="S757" s="139">
        <v>0</v>
      </c>
      <c r="T757" s="322">
        <f t="shared" si="158"/>
        <v>0</v>
      </c>
      <c r="U757" s="140" t="str">
        <f t="shared" si="159"/>
        <v/>
      </c>
      <c r="V757" s="322">
        <f t="shared" si="135"/>
        <v>0</v>
      </c>
      <c r="W757" s="140" t="str">
        <f t="shared" si="160"/>
        <v/>
      </c>
      <c r="X757" s="322">
        <f t="shared" si="161"/>
        <v>0</v>
      </c>
      <c r="Y757" s="140" t="str">
        <f t="shared" si="162"/>
        <v/>
      </c>
      <c r="Z757" s="519">
        <v>0</v>
      </c>
      <c r="AA757" s="111">
        <f t="shared" si="136"/>
        <v>0</v>
      </c>
      <c r="AB757" s="111">
        <f t="shared" si="137"/>
        <v>0</v>
      </c>
    </row>
    <row r="758" spans="1:28" ht="18" customHeight="1">
      <c r="A758" s="121" t="s">
        <v>2502</v>
      </c>
      <c r="B758" s="128" t="s">
        <v>3281</v>
      </c>
      <c r="C758" s="106" t="s">
        <v>3187</v>
      </c>
      <c r="D758" s="106" t="s">
        <v>3183</v>
      </c>
      <c r="E758" s="559" t="s">
        <v>2501</v>
      </c>
      <c r="F758" s="579" t="s">
        <v>2500</v>
      </c>
      <c r="G758" s="555" t="s">
        <v>839</v>
      </c>
      <c r="H758" s="555" t="s">
        <v>3369</v>
      </c>
      <c r="I758" s="556" t="s">
        <v>2503</v>
      </c>
      <c r="J758" s="557" t="s">
        <v>2914</v>
      </c>
      <c r="K758" s="558" t="s">
        <v>2915</v>
      </c>
      <c r="L758" s="95"/>
      <c r="M758" s="104"/>
      <c r="N758" s="137">
        <v>0</v>
      </c>
      <c r="O758" s="138">
        <v>0</v>
      </c>
      <c r="P758" s="138">
        <v>0</v>
      </c>
      <c r="Q758" s="138">
        <v>0</v>
      </c>
      <c r="R758" s="138">
        <v>0</v>
      </c>
      <c r="S758" s="139">
        <v>0</v>
      </c>
      <c r="T758" s="322">
        <f t="shared" si="158"/>
        <v>0</v>
      </c>
      <c r="U758" s="140" t="str">
        <f t="shared" si="159"/>
        <v/>
      </c>
      <c r="V758" s="322">
        <f t="shared" si="135"/>
        <v>0</v>
      </c>
      <c r="W758" s="140" t="str">
        <f t="shared" si="160"/>
        <v/>
      </c>
      <c r="X758" s="322">
        <f t="shared" si="161"/>
        <v>0</v>
      </c>
      <c r="Y758" s="140" t="str">
        <f t="shared" si="162"/>
        <v/>
      </c>
      <c r="Z758" s="519">
        <v>0</v>
      </c>
      <c r="AA758" s="111">
        <f t="shared" si="136"/>
        <v>0</v>
      </c>
      <c r="AB758" s="111">
        <f t="shared" si="137"/>
        <v>0</v>
      </c>
    </row>
    <row r="759" spans="1:28" ht="26.25" customHeight="1">
      <c r="A759" s="122" t="s">
        <v>2504</v>
      </c>
      <c r="B759" s="129" t="s">
        <v>3281</v>
      </c>
      <c r="C759" s="107" t="s">
        <v>3189</v>
      </c>
      <c r="D759" s="107" t="s">
        <v>3185</v>
      </c>
      <c r="E759" s="554" t="s">
        <v>2505</v>
      </c>
      <c r="F759" s="534" t="s">
        <v>5355</v>
      </c>
      <c r="G759" s="555"/>
      <c r="H759" s="555"/>
      <c r="I759" s="556"/>
      <c r="J759" s="557"/>
      <c r="K759" s="558"/>
      <c r="L759" s="95"/>
      <c r="M759" s="104"/>
      <c r="N759" s="137">
        <v>0</v>
      </c>
      <c r="O759" s="138">
        <v>0</v>
      </c>
      <c r="P759" s="138">
        <v>0</v>
      </c>
      <c r="Q759" s="138">
        <v>0</v>
      </c>
      <c r="R759" s="138">
        <v>0</v>
      </c>
      <c r="S759" s="139">
        <v>0</v>
      </c>
      <c r="T759" s="322">
        <f t="shared" si="158"/>
        <v>0</v>
      </c>
      <c r="U759" s="140" t="str">
        <f t="shared" si="159"/>
        <v/>
      </c>
      <c r="V759" s="322">
        <f t="shared" si="135"/>
        <v>0</v>
      </c>
      <c r="W759" s="140" t="str">
        <f t="shared" si="160"/>
        <v/>
      </c>
      <c r="X759" s="322">
        <f t="shared" si="161"/>
        <v>0</v>
      </c>
      <c r="Y759" s="140" t="str">
        <f t="shared" si="162"/>
        <v/>
      </c>
      <c r="Z759" s="519">
        <v>0</v>
      </c>
      <c r="AA759" s="111">
        <f t="shared" si="136"/>
        <v>0</v>
      </c>
      <c r="AB759" s="111">
        <f t="shared" si="137"/>
        <v>0</v>
      </c>
    </row>
    <row r="760" spans="1:28" ht="26.25" customHeight="1">
      <c r="A760" s="121" t="s">
        <v>2506</v>
      </c>
      <c r="B760" s="128" t="s">
        <v>3281</v>
      </c>
      <c r="C760" s="106" t="s">
        <v>3189</v>
      </c>
      <c r="D760" s="106" t="s">
        <v>3183</v>
      </c>
      <c r="E760" s="559" t="s">
        <v>2505</v>
      </c>
      <c r="F760" s="540" t="s">
        <v>5356</v>
      </c>
      <c r="G760" s="555" t="s">
        <v>841</v>
      </c>
      <c r="H760" s="555" t="s">
        <v>3370</v>
      </c>
      <c r="I760" s="556" t="s">
        <v>2507</v>
      </c>
      <c r="J760" s="557" t="s">
        <v>2914</v>
      </c>
      <c r="K760" s="558" t="s">
        <v>2915</v>
      </c>
      <c r="L760" s="95"/>
      <c r="M760" s="104"/>
      <c r="N760" s="137">
        <v>0</v>
      </c>
      <c r="O760" s="138">
        <v>0</v>
      </c>
      <c r="P760" s="138">
        <v>0</v>
      </c>
      <c r="Q760" s="138">
        <v>0</v>
      </c>
      <c r="R760" s="138">
        <v>0</v>
      </c>
      <c r="S760" s="139">
        <v>0</v>
      </c>
      <c r="T760" s="322">
        <f t="shared" si="158"/>
        <v>0</v>
      </c>
      <c r="U760" s="140" t="str">
        <f t="shared" si="159"/>
        <v/>
      </c>
      <c r="V760" s="322">
        <f t="shared" si="135"/>
        <v>0</v>
      </c>
      <c r="W760" s="140" t="str">
        <f t="shared" si="160"/>
        <v/>
      </c>
      <c r="X760" s="322">
        <f t="shared" si="161"/>
        <v>0</v>
      </c>
      <c r="Y760" s="140" t="str">
        <f t="shared" si="162"/>
        <v/>
      </c>
      <c r="Z760" s="519">
        <v>0</v>
      </c>
      <c r="AA760" s="111">
        <f t="shared" si="136"/>
        <v>0</v>
      </c>
      <c r="AB760" s="111">
        <f t="shared" si="137"/>
        <v>0</v>
      </c>
    </row>
    <row r="761" spans="1:28" ht="18" customHeight="1">
      <c r="A761" s="122" t="s">
        <v>2508</v>
      </c>
      <c r="B761" s="129" t="s">
        <v>3281</v>
      </c>
      <c r="C761" s="107" t="s">
        <v>3190</v>
      </c>
      <c r="D761" s="107" t="s">
        <v>3185</v>
      </c>
      <c r="E761" s="554" t="s">
        <v>1756</v>
      </c>
      <c r="F761" s="534" t="s">
        <v>1755</v>
      </c>
      <c r="G761" s="555"/>
      <c r="H761" s="555"/>
      <c r="I761" s="556"/>
      <c r="J761" s="557"/>
      <c r="K761" s="558"/>
      <c r="L761" s="95"/>
      <c r="M761" s="104"/>
      <c r="N761" s="137">
        <v>0</v>
      </c>
      <c r="O761" s="138">
        <v>0</v>
      </c>
      <c r="P761" s="138">
        <v>0</v>
      </c>
      <c r="Q761" s="138">
        <v>0</v>
      </c>
      <c r="R761" s="138">
        <v>0</v>
      </c>
      <c r="S761" s="139">
        <v>0</v>
      </c>
      <c r="T761" s="322">
        <f t="shared" si="158"/>
        <v>0</v>
      </c>
      <c r="U761" s="140" t="str">
        <f t="shared" si="159"/>
        <v/>
      </c>
      <c r="V761" s="322">
        <f t="shared" si="135"/>
        <v>0</v>
      </c>
      <c r="W761" s="140" t="str">
        <f t="shared" si="160"/>
        <v/>
      </c>
      <c r="X761" s="322">
        <f t="shared" si="161"/>
        <v>0</v>
      </c>
      <c r="Y761" s="140" t="str">
        <f t="shared" si="162"/>
        <v/>
      </c>
      <c r="Z761" s="519">
        <v>0</v>
      </c>
      <c r="AA761" s="111">
        <f t="shared" si="136"/>
        <v>0</v>
      </c>
      <c r="AB761" s="111">
        <f t="shared" si="137"/>
        <v>0</v>
      </c>
    </row>
    <row r="762" spans="1:28" ht="18" customHeight="1">
      <c r="A762" s="121" t="s">
        <v>1757</v>
      </c>
      <c r="B762" s="128" t="s">
        <v>3281</v>
      </c>
      <c r="C762" s="106" t="s">
        <v>3190</v>
      </c>
      <c r="D762" s="106" t="s">
        <v>3183</v>
      </c>
      <c r="E762" s="540" t="s">
        <v>1756</v>
      </c>
      <c r="F762" s="540" t="s">
        <v>1755</v>
      </c>
      <c r="G762" s="555" t="s">
        <v>841</v>
      </c>
      <c r="H762" s="555" t="s">
        <v>3370</v>
      </c>
      <c r="I762" s="556" t="s">
        <v>2507</v>
      </c>
      <c r="J762" s="557" t="s">
        <v>2914</v>
      </c>
      <c r="K762" s="558" t="s">
        <v>2915</v>
      </c>
      <c r="L762" s="95"/>
      <c r="M762" s="104"/>
      <c r="N762" s="137">
        <v>84071.94</v>
      </c>
      <c r="O762" s="138">
        <v>50000</v>
      </c>
      <c r="P762" s="138">
        <v>43000</v>
      </c>
      <c r="Q762" s="138">
        <v>10000</v>
      </c>
      <c r="R762" s="138">
        <v>10000</v>
      </c>
      <c r="S762" s="139">
        <v>10000</v>
      </c>
      <c r="T762" s="322">
        <f t="shared" si="158"/>
        <v>-74071.94</v>
      </c>
      <c r="U762" s="140">
        <f t="shared" si="159"/>
        <v>-0.88105424949156641</v>
      </c>
      <c r="V762" s="322">
        <f t="shared" si="135"/>
        <v>-40000</v>
      </c>
      <c r="W762" s="140">
        <f t="shared" si="160"/>
        <v>-0.8</v>
      </c>
      <c r="X762" s="322">
        <f t="shared" si="161"/>
        <v>-33000</v>
      </c>
      <c r="Y762" s="140">
        <f t="shared" si="162"/>
        <v>-0.76744186046511631</v>
      </c>
      <c r="Z762" s="519">
        <v>32466.23</v>
      </c>
      <c r="AA762" s="111">
        <f t="shared" si="136"/>
        <v>43288.306666666664</v>
      </c>
      <c r="AB762" s="111">
        <f t="shared" si="137"/>
        <v>-288.30666666666366</v>
      </c>
    </row>
    <row r="763" spans="1:28" ht="18" customHeight="1">
      <c r="A763" s="122" t="s">
        <v>1758</v>
      </c>
      <c r="B763" s="129" t="s">
        <v>3281</v>
      </c>
      <c r="C763" s="107" t="s">
        <v>3191</v>
      </c>
      <c r="D763" s="107" t="s">
        <v>3185</v>
      </c>
      <c r="E763" s="578" t="s">
        <v>1760</v>
      </c>
      <c r="F763" s="578" t="s">
        <v>1759</v>
      </c>
      <c r="G763" s="555"/>
      <c r="H763" s="555"/>
      <c r="I763" s="556"/>
      <c r="J763" s="557"/>
      <c r="K763" s="558"/>
      <c r="L763" s="95"/>
      <c r="M763" s="104"/>
      <c r="N763" s="137">
        <v>0</v>
      </c>
      <c r="O763" s="138">
        <v>0</v>
      </c>
      <c r="P763" s="138">
        <v>0</v>
      </c>
      <c r="Q763" s="138">
        <v>0</v>
      </c>
      <c r="R763" s="138">
        <v>0</v>
      </c>
      <c r="S763" s="139">
        <v>0</v>
      </c>
      <c r="T763" s="322">
        <f t="shared" si="158"/>
        <v>0</v>
      </c>
      <c r="U763" s="140" t="str">
        <f t="shared" si="159"/>
        <v/>
      </c>
      <c r="V763" s="322">
        <f t="shared" si="135"/>
        <v>0</v>
      </c>
      <c r="W763" s="140" t="str">
        <f t="shared" si="160"/>
        <v/>
      </c>
      <c r="X763" s="322">
        <f t="shared" si="161"/>
        <v>0</v>
      </c>
      <c r="Y763" s="140" t="str">
        <f t="shared" si="162"/>
        <v/>
      </c>
      <c r="Z763" s="519">
        <v>0</v>
      </c>
      <c r="AA763" s="111">
        <f t="shared" si="136"/>
        <v>0</v>
      </c>
      <c r="AB763" s="111">
        <f t="shared" si="137"/>
        <v>0</v>
      </c>
    </row>
    <row r="764" spans="1:28" ht="18" customHeight="1">
      <c r="A764" s="121" t="s">
        <v>1761</v>
      </c>
      <c r="B764" s="128" t="s">
        <v>3281</v>
      </c>
      <c r="C764" s="106" t="s">
        <v>3191</v>
      </c>
      <c r="D764" s="106" t="s">
        <v>3183</v>
      </c>
      <c r="E764" s="581" t="s">
        <v>1760</v>
      </c>
      <c r="F764" s="581" t="s">
        <v>1759</v>
      </c>
      <c r="G764" s="555" t="s">
        <v>841</v>
      </c>
      <c r="H764" s="555" t="s">
        <v>3370</v>
      </c>
      <c r="I764" s="556" t="s">
        <v>2507</v>
      </c>
      <c r="J764" s="557" t="s">
        <v>2914</v>
      </c>
      <c r="K764" s="558" t="s">
        <v>2915</v>
      </c>
      <c r="L764" s="95"/>
      <c r="M764" s="104"/>
      <c r="N764" s="137">
        <v>39.82</v>
      </c>
      <c r="O764" s="138">
        <v>0</v>
      </c>
      <c r="P764" s="138">
        <v>0</v>
      </c>
      <c r="Q764" s="138">
        <v>0</v>
      </c>
      <c r="R764" s="138">
        <v>0</v>
      </c>
      <c r="S764" s="139">
        <v>0</v>
      </c>
      <c r="T764" s="322">
        <f t="shared" si="158"/>
        <v>-39.82</v>
      </c>
      <c r="U764" s="140">
        <f t="shared" si="159"/>
        <v>-1</v>
      </c>
      <c r="V764" s="322">
        <f t="shared" si="135"/>
        <v>0</v>
      </c>
      <c r="W764" s="140" t="str">
        <f t="shared" si="160"/>
        <v/>
      </c>
      <c r="X764" s="322">
        <f t="shared" si="161"/>
        <v>0</v>
      </c>
      <c r="Y764" s="140" t="str">
        <f t="shared" si="162"/>
        <v/>
      </c>
      <c r="Z764" s="519">
        <v>0.35</v>
      </c>
      <c r="AA764" s="111">
        <f t="shared" si="136"/>
        <v>0.46666666666666662</v>
      </c>
      <c r="AB764" s="111">
        <f t="shared" si="137"/>
        <v>-0.46666666666666662</v>
      </c>
    </row>
    <row r="765" spans="1:28" ht="18" customHeight="1">
      <c r="A765" s="122" t="s">
        <v>1762</v>
      </c>
      <c r="B765" s="129" t="s">
        <v>3281</v>
      </c>
      <c r="C765" s="107" t="s">
        <v>2139</v>
      </c>
      <c r="D765" s="107" t="s">
        <v>3185</v>
      </c>
      <c r="E765" s="578" t="s">
        <v>1765</v>
      </c>
      <c r="F765" s="578" t="s">
        <v>1763</v>
      </c>
      <c r="G765" s="555"/>
      <c r="H765" s="555"/>
      <c r="I765" s="556"/>
      <c r="J765" s="557"/>
      <c r="K765" s="558"/>
      <c r="L765" s="95"/>
      <c r="M765" s="104"/>
      <c r="N765" s="137">
        <v>0</v>
      </c>
      <c r="O765" s="138">
        <v>0</v>
      </c>
      <c r="P765" s="138">
        <v>0</v>
      </c>
      <c r="Q765" s="138">
        <v>0</v>
      </c>
      <c r="R765" s="138">
        <v>0</v>
      </c>
      <c r="S765" s="139">
        <v>0</v>
      </c>
      <c r="T765" s="322">
        <f t="shared" si="158"/>
        <v>0</v>
      </c>
      <c r="U765" s="140" t="str">
        <f t="shared" si="159"/>
        <v/>
      </c>
      <c r="V765" s="322">
        <f t="shared" si="135"/>
        <v>0</v>
      </c>
      <c r="W765" s="140" t="str">
        <f t="shared" si="160"/>
        <v/>
      </c>
      <c r="X765" s="322">
        <f t="shared" si="161"/>
        <v>0</v>
      </c>
      <c r="Y765" s="140" t="str">
        <f t="shared" si="162"/>
        <v/>
      </c>
      <c r="Z765" s="519">
        <v>0</v>
      </c>
      <c r="AA765" s="111">
        <f t="shared" si="136"/>
        <v>0</v>
      </c>
      <c r="AB765" s="111">
        <f t="shared" si="137"/>
        <v>0</v>
      </c>
    </row>
    <row r="766" spans="1:28" ht="18" customHeight="1">
      <c r="A766" s="121" t="s">
        <v>1764</v>
      </c>
      <c r="B766" s="128" t="s">
        <v>3281</v>
      </c>
      <c r="C766" s="106" t="s">
        <v>2139</v>
      </c>
      <c r="D766" s="106" t="s">
        <v>3183</v>
      </c>
      <c r="E766" s="581" t="s">
        <v>1765</v>
      </c>
      <c r="F766" s="581" t="s">
        <v>1763</v>
      </c>
      <c r="G766" s="555" t="s">
        <v>845</v>
      </c>
      <c r="H766" s="555" t="s">
        <v>3371</v>
      </c>
      <c r="I766" s="556" t="s">
        <v>1766</v>
      </c>
      <c r="J766" s="557" t="s">
        <v>2914</v>
      </c>
      <c r="K766" s="558" t="s">
        <v>2915</v>
      </c>
      <c r="L766" s="95"/>
      <c r="M766" s="104"/>
      <c r="N766" s="137">
        <v>3069.99</v>
      </c>
      <c r="O766" s="138">
        <v>1000</v>
      </c>
      <c r="P766" s="138">
        <v>1000</v>
      </c>
      <c r="Q766" s="138">
        <v>1000</v>
      </c>
      <c r="R766" s="138">
        <v>1000</v>
      </c>
      <c r="S766" s="139">
        <v>1000</v>
      </c>
      <c r="T766" s="322">
        <f t="shared" si="158"/>
        <v>-2069.9899999999998</v>
      </c>
      <c r="U766" s="140">
        <f t="shared" si="159"/>
        <v>-0.6742660399545275</v>
      </c>
      <c r="V766" s="322">
        <f t="shared" si="135"/>
        <v>0</v>
      </c>
      <c r="W766" s="140">
        <f t="shared" si="160"/>
        <v>0</v>
      </c>
      <c r="X766" s="322">
        <f t="shared" si="161"/>
        <v>0</v>
      </c>
      <c r="Y766" s="140">
        <f t="shared" si="162"/>
        <v>0</v>
      </c>
      <c r="Z766" s="519">
        <v>102.43</v>
      </c>
      <c r="AA766" s="111">
        <f t="shared" si="136"/>
        <v>136.57333333333335</v>
      </c>
      <c r="AB766" s="111">
        <f t="shared" si="137"/>
        <v>863.42666666666662</v>
      </c>
    </row>
    <row r="767" spans="1:28" ht="18" customHeight="1">
      <c r="A767" s="113" t="s">
        <v>1767</v>
      </c>
      <c r="B767" s="135" t="s">
        <v>1768</v>
      </c>
      <c r="C767" s="136" t="s">
        <v>3184</v>
      </c>
      <c r="D767" s="136" t="s">
        <v>3185</v>
      </c>
      <c r="E767" s="529" t="s">
        <v>3372</v>
      </c>
      <c r="F767" s="529" t="s">
        <v>1769</v>
      </c>
      <c r="G767" s="530"/>
      <c r="H767" s="530"/>
      <c r="I767" s="531"/>
      <c r="J767" s="532"/>
      <c r="K767" s="533"/>
      <c r="L767" s="95"/>
      <c r="M767" s="147"/>
      <c r="N767" s="137">
        <v>0</v>
      </c>
      <c r="O767" s="138">
        <v>0</v>
      </c>
      <c r="P767" s="138">
        <v>0</v>
      </c>
      <c r="Q767" s="138">
        <v>0</v>
      </c>
      <c r="R767" s="138">
        <v>0</v>
      </c>
      <c r="S767" s="139">
        <v>0</v>
      </c>
      <c r="T767" s="322">
        <f t="shared" si="158"/>
        <v>0</v>
      </c>
      <c r="U767" s="140" t="str">
        <f t="shared" si="159"/>
        <v/>
      </c>
      <c r="V767" s="322">
        <f t="shared" si="135"/>
        <v>0</v>
      </c>
      <c r="W767" s="140" t="str">
        <f t="shared" si="160"/>
        <v/>
      </c>
      <c r="X767" s="322">
        <f t="shared" si="161"/>
        <v>0</v>
      </c>
      <c r="Y767" s="140" t="str">
        <f t="shared" si="162"/>
        <v/>
      </c>
      <c r="Z767" s="519">
        <v>0</v>
      </c>
      <c r="AA767" s="111">
        <f t="shared" si="136"/>
        <v>0</v>
      </c>
      <c r="AB767" s="111">
        <f t="shared" si="137"/>
        <v>0</v>
      </c>
    </row>
    <row r="768" spans="1:28" ht="18" customHeight="1">
      <c r="A768" s="122" t="s">
        <v>1771</v>
      </c>
      <c r="B768" s="129" t="s">
        <v>1768</v>
      </c>
      <c r="C768" s="107" t="s">
        <v>3186</v>
      </c>
      <c r="D768" s="107" t="s">
        <v>3185</v>
      </c>
      <c r="E768" s="554" t="s">
        <v>1770</v>
      </c>
      <c r="F768" s="554" t="s">
        <v>1769</v>
      </c>
      <c r="G768" s="555"/>
      <c r="H768" s="555"/>
      <c r="I768" s="556"/>
      <c r="J768" s="557"/>
      <c r="K768" s="558"/>
      <c r="L768" s="95"/>
      <c r="M768" s="104"/>
      <c r="N768" s="137">
        <v>0</v>
      </c>
      <c r="O768" s="138">
        <v>0</v>
      </c>
      <c r="P768" s="138">
        <v>0</v>
      </c>
      <c r="Q768" s="138">
        <v>0</v>
      </c>
      <c r="R768" s="138">
        <v>0</v>
      </c>
      <c r="S768" s="139">
        <v>0</v>
      </c>
      <c r="T768" s="322">
        <f t="shared" si="158"/>
        <v>0</v>
      </c>
      <c r="U768" s="140" t="str">
        <f t="shared" si="159"/>
        <v/>
      </c>
      <c r="V768" s="322">
        <f t="shared" si="135"/>
        <v>0</v>
      </c>
      <c r="W768" s="140" t="str">
        <f t="shared" si="160"/>
        <v/>
      </c>
      <c r="X768" s="322">
        <f t="shared" si="161"/>
        <v>0</v>
      </c>
      <c r="Y768" s="140" t="str">
        <f t="shared" si="162"/>
        <v/>
      </c>
      <c r="Z768" s="519">
        <v>0</v>
      </c>
      <c r="AA768" s="111">
        <f t="shared" si="136"/>
        <v>0</v>
      </c>
      <c r="AB768" s="111">
        <f t="shared" si="137"/>
        <v>0</v>
      </c>
    </row>
    <row r="769" spans="1:28" ht="26.25" customHeight="1">
      <c r="A769" s="121" t="s">
        <v>3373</v>
      </c>
      <c r="B769" s="128" t="s">
        <v>1768</v>
      </c>
      <c r="C769" s="106" t="s">
        <v>3186</v>
      </c>
      <c r="D769" s="106" t="s">
        <v>2833</v>
      </c>
      <c r="E769" s="559" t="s">
        <v>4402</v>
      </c>
      <c r="F769" s="559" t="s">
        <v>4403</v>
      </c>
      <c r="G769" s="555" t="s">
        <v>242</v>
      </c>
      <c r="H769" s="555" t="s">
        <v>3374</v>
      </c>
      <c r="I769" s="556" t="s">
        <v>3375</v>
      </c>
      <c r="J769" s="557" t="s">
        <v>1775</v>
      </c>
      <c r="K769" s="558" t="s">
        <v>1779</v>
      </c>
      <c r="L769" s="95"/>
      <c r="M769" s="104"/>
      <c r="N769" s="137">
        <v>0</v>
      </c>
      <c r="O769" s="138">
        <v>0</v>
      </c>
      <c r="P769" s="138">
        <v>0</v>
      </c>
      <c r="Q769" s="138">
        <v>0</v>
      </c>
      <c r="R769" s="138">
        <v>0</v>
      </c>
      <c r="S769" s="139">
        <v>0</v>
      </c>
      <c r="T769" s="322">
        <f t="shared" si="158"/>
        <v>0</v>
      </c>
      <c r="U769" s="140" t="str">
        <f t="shared" si="159"/>
        <v/>
      </c>
      <c r="V769" s="322">
        <f t="shared" si="135"/>
        <v>0</v>
      </c>
      <c r="W769" s="140" t="str">
        <f t="shared" si="160"/>
        <v/>
      </c>
      <c r="X769" s="322">
        <f t="shared" si="161"/>
        <v>0</v>
      </c>
      <c r="Y769" s="140" t="str">
        <f t="shared" si="162"/>
        <v/>
      </c>
      <c r="Z769" s="519">
        <v>0</v>
      </c>
      <c r="AA769" s="111">
        <f t="shared" si="136"/>
        <v>0</v>
      </c>
      <c r="AB769" s="111">
        <f t="shared" si="137"/>
        <v>0</v>
      </c>
    </row>
    <row r="770" spans="1:28" ht="26.25" customHeight="1">
      <c r="A770" s="121" t="s">
        <v>3376</v>
      </c>
      <c r="B770" s="128" t="s">
        <v>1768</v>
      </c>
      <c r="C770" s="106" t="s">
        <v>3186</v>
      </c>
      <c r="D770" s="106" t="s">
        <v>1378</v>
      </c>
      <c r="E770" s="559" t="s">
        <v>3377</v>
      </c>
      <c r="F770" s="559" t="s">
        <v>3378</v>
      </c>
      <c r="G770" s="555" t="s">
        <v>246</v>
      </c>
      <c r="H770" s="555" t="s">
        <v>3379</v>
      </c>
      <c r="I770" s="556" t="s">
        <v>3380</v>
      </c>
      <c r="J770" s="557" t="s">
        <v>1775</v>
      </c>
      <c r="K770" s="558" t="s">
        <v>1779</v>
      </c>
      <c r="L770" s="95"/>
      <c r="M770" s="104"/>
      <c r="N770" s="137">
        <v>0</v>
      </c>
      <c r="O770" s="138">
        <v>0</v>
      </c>
      <c r="P770" s="138">
        <v>5084.45</v>
      </c>
      <c r="Q770" s="138">
        <v>0</v>
      </c>
      <c r="R770" s="138">
        <v>0</v>
      </c>
      <c r="S770" s="139">
        <v>0</v>
      </c>
      <c r="T770" s="322">
        <f t="shared" si="158"/>
        <v>0</v>
      </c>
      <c r="U770" s="140" t="str">
        <f t="shared" si="159"/>
        <v/>
      </c>
      <c r="V770" s="322">
        <f t="shared" si="135"/>
        <v>0</v>
      </c>
      <c r="W770" s="140" t="str">
        <f t="shared" si="160"/>
        <v/>
      </c>
      <c r="X770" s="322">
        <f t="shared" si="161"/>
        <v>-5084.45</v>
      </c>
      <c r="Y770" s="140">
        <f t="shared" si="162"/>
        <v>-1</v>
      </c>
      <c r="Z770" s="519">
        <v>5084.45</v>
      </c>
      <c r="AA770" s="111">
        <f t="shared" si="136"/>
        <v>6779.2666666666664</v>
      </c>
      <c r="AB770" s="111">
        <f t="shared" si="137"/>
        <v>-1694.8166666666666</v>
      </c>
    </row>
    <row r="771" spans="1:28" ht="26.25" customHeight="1">
      <c r="A771" s="121" t="s">
        <v>3381</v>
      </c>
      <c r="B771" s="128" t="s">
        <v>1768</v>
      </c>
      <c r="C771" s="106" t="s">
        <v>3186</v>
      </c>
      <c r="D771" s="106" t="s">
        <v>1379</v>
      </c>
      <c r="E771" s="559" t="s">
        <v>3382</v>
      </c>
      <c r="F771" s="559" t="s">
        <v>3383</v>
      </c>
      <c r="G771" s="555" t="s">
        <v>248</v>
      </c>
      <c r="H771" s="555" t="s">
        <v>3384</v>
      </c>
      <c r="I771" s="556" t="s">
        <v>3385</v>
      </c>
      <c r="J771" s="557" t="s">
        <v>1775</v>
      </c>
      <c r="K771" s="558" t="s">
        <v>1779</v>
      </c>
      <c r="L771" s="95"/>
      <c r="M771" s="104"/>
      <c r="N771" s="137">
        <v>0</v>
      </c>
      <c r="O771" s="138">
        <v>0</v>
      </c>
      <c r="P771" s="138">
        <v>0</v>
      </c>
      <c r="Q771" s="138">
        <v>0</v>
      </c>
      <c r="R771" s="138">
        <v>0</v>
      </c>
      <c r="S771" s="139">
        <v>0</v>
      </c>
      <c r="T771" s="322">
        <f t="shared" si="158"/>
        <v>0</v>
      </c>
      <c r="U771" s="140" t="str">
        <f t="shared" si="159"/>
        <v/>
      </c>
      <c r="V771" s="322">
        <f t="shared" si="135"/>
        <v>0</v>
      </c>
      <c r="W771" s="140" t="str">
        <f t="shared" si="160"/>
        <v/>
      </c>
      <c r="X771" s="322">
        <f t="shared" si="161"/>
        <v>0</v>
      </c>
      <c r="Y771" s="140" t="str">
        <f t="shared" si="162"/>
        <v/>
      </c>
      <c r="Z771" s="519">
        <v>0</v>
      </c>
      <c r="AA771" s="111">
        <f t="shared" si="136"/>
        <v>0</v>
      </c>
      <c r="AB771" s="111">
        <f t="shared" si="137"/>
        <v>0</v>
      </c>
    </row>
    <row r="772" spans="1:28" ht="26.25" customHeight="1">
      <c r="A772" s="121" t="s">
        <v>3386</v>
      </c>
      <c r="B772" s="128" t="s">
        <v>1768</v>
      </c>
      <c r="C772" s="106" t="s">
        <v>3186</v>
      </c>
      <c r="D772" s="106" t="s">
        <v>2467</v>
      </c>
      <c r="E772" s="559" t="s">
        <v>3387</v>
      </c>
      <c r="F772" s="559" t="s">
        <v>3388</v>
      </c>
      <c r="G772" s="555" t="s">
        <v>250</v>
      </c>
      <c r="H772" s="555" t="s">
        <v>3389</v>
      </c>
      <c r="I772" s="556" t="s">
        <v>3390</v>
      </c>
      <c r="J772" s="557" t="s">
        <v>1775</v>
      </c>
      <c r="K772" s="558" t="s">
        <v>1779</v>
      </c>
      <c r="L772" s="95"/>
      <c r="M772" s="104"/>
      <c r="N772" s="137">
        <v>50561.77</v>
      </c>
      <c r="O772" s="138">
        <v>0</v>
      </c>
      <c r="P772" s="138">
        <v>0</v>
      </c>
      <c r="Q772" s="138">
        <v>0</v>
      </c>
      <c r="R772" s="138">
        <v>0</v>
      </c>
      <c r="S772" s="139">
        <v>0</v>
      </c>
      <c r="T772" s="322">
        <f t="shared" si="158"/>
        <v>-50561.77</v>
      </c>
      <c r="U772" s="140">
        <f t="shared" si="159"/>
        <v>-1</v>
      </c>
      <c r="V772" s="322">
        <f t="shared" si="135"/>
        <v>0</v>
      </c>
      <c r="W772" s="140" t="str">
        <f t="shared" si="160"/>
        <v/>
      </c>
      <c r="X772" s="322">
        <f t="shared" si="161"/>
        <v>0</v>
      </c>
      <c r="Y772" s="140" t="str">
        <f t="shared" si="162"/>
        <v/>
      </c>
      <c r="Z772" s="519">
        <v>0</v>
      </c>
      <c r="AA772" s="111">
        <f t="shared" si="136"/>
        <v>0</v>
      </c>
      <c r="AB772" s="111">
        <f t="shared" si="137"/>
        <v>0</v>
      </c>
    </row>
    <row r="773" spans="1:28" ht="36.75" customHeight="1">
      <c r="A773" s="121" t="s">
        <v>3391</v>
      </c>
      <c r="B773" s="128" t="s">
        <v>1768</v>
      </c>
      <c r="C773" s="106" t="s">
        <v>3186</v>
      </c>
      <c r="D773" s="106" t="s">
        <v>2138</v>
      </c>
      <c r="E773" s="559" t="s">
        <v>3392</v>
      </c>
      <c r="F773" s="559" t="s">
        <v>3393</v>
      </c>
      <c r="G773" s="555" t="s">
        <v>252</v>
      </c>
      <c r="H773" s="555" t="s">
        <v>3394</v>
      </c>
      <c r="I773" s="556" t="s">
        <v>3395</v>
      </c>
      <c r="J773" s="557" t="s">
        <v>1775</v>
      </c>
      <c r="K773" s="558" t="s">
        <v>1779</v>
      </c>
      <c r="L773" s="95"/>
      <c r="M773" s="104"/>
      <c r="N773" s="137">
        <v>1014946.8</v>
      </c>
      <c r="O773" s="138">
        <v>0</v>
      </c>
      <c r="P773" s="138">
        <v>301.41000000000003</v>
      </c>
      <c r="Q773" s="138">
        <v>0</v>
      </c>
      <c r="R773" s="138">
        <v>0</v>
      </c>
      <c r="S773" s="139">
        <v>0</v>
      </c>
      <c r="T773" s="322">
        <f t="shared" si="158"/>
        <v>-1014946.8</v>
      </c>
      <c r="U773" s="140">
        <f t="shared" si="159"/>
        <v>-1</v>
      </c>
      <c r="V773" s="322">
        <f t="shared" si="135"/>
        <v>0</v>
      </c>
      <c r="W773" s="140" t="str">
        <f t="shared" si="160"/>
        <v/>
      </c>
      <c r="X773" s="322">
        <f t="shared" si="161"/>
        <v>-301.41000000000003</v>
      </c>
      <c r="Y773" s="140">
        <f t="shared" si="162"/>
        <v>-1</v>
      </c>
      <c r="Z773" s="519">
        <v>301.41000000000003</v>
      </c>
      <c r="AA773" s="111">
        <f t="shared" si="136"/>
        <v>401.88000000000005</v>
      </c>
      <c r="AB773" s="111">
        <f t="shared" si="137"/>
        <v>-100.47000000000003</v>
      </c>
    </row>
    <row r="774" spans="1:28" ht="36.75" customHeight="1">
      <c r="A774" s="121" t="s">
        <v>3396</v>
      </c>
      <c r="B774" s="128" t="s">
        <v>1768</v>
      </c>
      <c r="C774" s="106" t="s">
        <v>3186</v>
      </c>
      <c r="D774" s="106" t="s">
        <v>2468</v>
      </c>
      <c r="E774" s="559" t="s">
        <v>3397</v>
      </c>
      <c r="F774" s="559" t="s">
        <v>3398</v>
      </c>
      <c r="G774" s="555" t="s">
        <v>254</v>
      </c>
      <c r="H774" s="555" t="s">
        <v>3399</v>
      </c>
      <c r="I774" s="556" t="s">
        <v>3400</v>
      </c>
      <c r="J774" s="557" t="s">
        <v>1775</v>
      </c>
      <c r="K774" s="558" t="s">
        <v>1779</v>
      </c>
      <c r="L774" s="95"/>
      <c r="M774" s="104"/>
      <c r="N774" s="137">
        <v>32326.75</v>
      </c>
      <c r="O774" s="138">
        <v>0</v>
      </c>
      <c r="P774" s="138">
        <v>88279.92</v>
      </c>
      <c r="Q774" s="138">
        <v>0</v>
      </c>
      <c r="R774" s="138">
        <v>0</v>
      </c>
      <c r="S774" s="139">
        <v>0</v>
      </c>
      <c r="T774" s="322">
        <f t="shared" si="158"/>
        <v>-32326.75</v>
      </c>
      <c r="U774" s="140">
        <f t="shared" si="159"/>
        <v>-1</v>
      </c>
      <c r="V774" s="322">
        <f t="shared" si="135"/>
        <v>0</v>
      </c>
      <c r="W774" s="140" t="str">
        <f t="shared" si="160"/>
        <v/>
      </c>
      <c r="X774" s="322">
        <f t="shared" si="161"/>
        <v>-88279.92</v>
      </c>
      <c r="Y774" s="140">
        <f t="shared" si="162"/>
        <v>-1</v>
      </c>
      <c r="Z774" s="519">
        <v>85887.38</v>
      </c>
      <c r="AA774" s="111">
        <f t="shared" si="136"/>
        <v>114516.50666666667</v>
      </c>
      <c r="AB774" s="111">
        <f t="shared" si="137"/>
        <v>-26236.58666666667</v>
      </c>
    </row>
    <row r="775" spans="1:28" ht="36.75" customHeight="1">
      <c r="A775" s="121" t="s">
        <v>3401</v>
      </c>
      <c r="B775" s="128" t="s">
        <v>1768</v>
      </c>
      <c r="C775" s="106" t="s">
        <v>3186</v>
      </c>
      <c r="D775" s="106" t="s">
        <v>2470</v>
      </c>
      <c r="E775" s="559" t="s">
        <v>3402</v>
      </c>
      <c r="F775" s="559" t="s">
        <v>5573</v>
      </c>
      <c r="G775" s="555" t="s">
        <v>256</v>
      </c>
      <c r="H775" s="555" t="s">
        <v>3403</v>
      </c>
      <c r="I775" s="556" t="s">
        <v>3404</v>
      </c>
      <c r="J775" s="557" t="s">
        <v>1775</v>
      </c>
      <c r="K775" s="558" t="s">
        <v>1779</v>
      </c>
      <c r="L775" s="95"/>
      <c r="M775" s="104"/>
      <c r="N775" s="137">
        <v>597.34999999999854</v>
      </c>
      <c r="O775" s="138">
        <v>0</v>
      </c>
      <c r="P775" s="138">
        <v>17074.88</v>
      </c>
      <c r="Q775" s="138">
        <v>0</v>
      </c>
      <c r="R775" s="138">
        <v>0</v>
      </c>
      <c r="S775" s="139">
        <v>0</v>
      </c>
      <c r="T775" s="322">
        <f t="shared" si="158"/>
        <v>-597.34999999999854</v>
      </c>
      <c r="U775" s="140">
        <f t="shared" si="159"/>
        <v>-1</v>
      </c>
      <c r="V775" s="322">
        <f t="shared" si="135"/>
        <v>0</v>
      </c>
      <c r="W775" s="140" t="str">
        <f t="shared" si="160"/>
        <v/>
      </c>
      <c r="X775" s="322">
        <f t="shared" si="161"/>
        <v>-17074.88</v>
      </c>
      <c r="Y775" s="140">
        <f t="shared" si="162"/>
        <v>-1</v>
      </c>
      <c r="Z775" s="519">
        <v>17074.88</v>
      </c>
      <c r="AA775" s="111">
        <f t="shared" si="136"/>
        <v>22766.506666666668</v>
      </c>
      <c r="AB775" s="111">
        <f t="shared" si="137"/>
        <v>-5691.626666666667</v>
      </c>
    </row>
    <row r="776" spans="1:28" ht="36.75" customHeight="1">
      <c r="A776" s="121" t="s">
        <v>3405</v>
      </c>
      <c r="B776" s="128" t="s">
        <v>1768</v>
      </c>
      <c r="C776" s="106" t="s">
        <v>3186</v>
      </c>
      <c r="D776" s="106" t="s">
        <v>2472</v>
      </c>
      <c r="E776" s="559" t="s">
        <v>3406</v>
      </c>
      <c r="F776" s="559" t="s">
        <v>3407</v>
      </c>
      <c r="G776" s="555" t="s">
        <v>258</v>
      </c>
      <c r="H776" s="555" t="s">
        <v>3408</v>
      </c>
      <c r="I776" s="556" t="s">
        <v>3409</v>
      </c>
      <c r="J776" s="557" t="s">
        <v>1775</v>
      </c>
      <c r="K776" s="558" t="s">
        <v>1779</v>
      </c>
      <c r="L776" s="95"/>
      <c r="M776" s="104"/>
      <c r="N776" s="137">
        <v>93085.49</v>
      </c>
      <c r="O776" s="138">
        <v>0</v>
      </c>
      <c r="P776" s="138">
        <v>198566.37</v>
      </c>
      <c r="Q776" s="138">
        <v>0</v>
      </c>
      <c r="R776" s="138">
        <v>0</v>
      </c>
      <c r="S776" s="139">
        <v>0</v>
      </c>
      <c r="T776" s="322">
        <f t="shared" si="158"/>
        <v>-93085.49</v>
      </c>
      <c r="U776" s="140">
        <f t="shared" si="159"/>
        <v>-1</v>
      </c>
      <c r="V776" s="322">
        <f t="shared" si="135"/>
        <v>0</v>
      </c>
      <c r="W776" s="140" t="str">
        <f t="shared" si="160"/>
        <v/>
      </c>
      <c r="X776" s="322">
        <f t="shared" si="161"/>
        <v>-198566.37</v>
      </c>
      <c r="Y776" s="140">
        <f t="shared" si="162"/>
        <v>-1</v>
      </c>
      <c r="Z776" s="519">
        <v>211654.28999999998</v>
      </c>
      <c r="AA776" s="111">
        <f t="shared" si="136"/>
        <v>282205.71999999997</v>
      </c>
      <c r="AB776" s="111">
        <f t="shared" si="137"/>
        <v>-83639.349999999977</v>
      </c>
    </row>
    <row r="777" spans="1:28" ht="18" customHeight="1">
      <c r="A777" s="121" t="s">
        <v>3410</v>
      </c>
      <c r="B777" s="128" t="s">
        <v>1768</v>
      </c>
      <c r="C777" s="106" t="s">
        <v>3186</v>
      </c>
      <c r="D777" s="106" t="s">
        <v>3411</v>
      </c>
      <c r="E777" s="559" t="s">
        <v>4363</v>
      </c>
      <c r="F777" s="559" t="s">
        <v>4617</v>
      </c>
      <c r="G777" s="555" t="s">
        <v>260</v>
      </c>
      <c r="H777" s="555" t="s">
        <v>1772</v>
      </c>
      <c r="I777" s="556" t="s">
        <v>1773</v>
      </c>
      <c r="J777" s="557" t="s">
        <v>1775</v>
      </c>
      <c r="K777" s="558" t="s">
        <v>1779</v>
      </c>
      <c r="L777" s="95"/>
      <c r="M777" s="104"/>
      <c r="N777" s="137">
        <v>482843.11</v>
      </c>
      <c r="O777" s="138">
        <v>0</v>
      </c>
      <c r="P777" s="138">
        <v>198049.72</v>
      </c>
      <c r="Q777" s="138">
        <v>0</v>
      </c>
      <c r="R777" s="138">
        <v>0</v>
      </c>
      <c r="S777" s="139">
        <v>0</v>
      </c>
      <c r="T777" s="322">
        <f t="shared" si="158"/>
        <v>-482843.11</v>
      </c>
      <c r="U777" s="140">
        <f t="shared" si="159"/>
        <v>-1</v>
      </c>
      <c r="V777" s="322">
        <f t="shared" ref="V777:V840" si="173">IF(O777="","",Q777-O777)</f>
        <v>0</v>
      </c>
      <c r="W777" s="140" t="str">
        <f t="shared" si="160"/>
        <v/>
      </c>
      <c r="X777" s="322">
        <f t="shared" si="161"/>
        <v>-198049.72</v>
      </c>
      <c r="Y777" s="140">
        <f t="shared" si="162"/>
        <v>-1</v>
      </c>
      <c r="Z777" s="519">
        <v>201931.12</v>
      </c>
      <c r="AA777" s="111">
        <f t="shared" ref="AA777:AA840" si="174">Z777/3*4</f>
        <v>269241.49333333335</v>
      </c>
      <c r="AB777" s="111">
        <f t="shared" ref="AB777:AB840" si="175">P777-AA777</f>
        <v>-71191.773333333345</v>
      </c>
    </row>
    <row r="778" spans="1:28" ht="18" customHeight="1">
      <c r="A778" s="121" t="s">
        <v>1776</v>
      </c>
      <c r="B778" s="128" t="s">
        <v>1768</v>
      </c>
      <c r="C778" s="106" t="s">
        <v>3186</v>
      </c>
      <c r="D778" s="106" t="s">
        <v>3193</v>
      </c>
      <c r="E778" s="559" t="s">
        <v>1778</v>
      </c>
      <c r="F778" s="540" t="s">
        <v>1777</v>
      </c>
      <c r="G778" s="555" t="s">
        <v>1133</v>
      </c>
      <c r="H778" s="555" t="s">
        <v>3197</v>
      </c>
      <c r="I778" s="556" t="s">
        <v>1779</v>
      </c>
      <c r="J778" s="557" t="s">
        <v>1775</v>
      </c>
      <c r="K778" s="558" t="s">
        <v>1779</v>
      </c>
      <c r="L778" s="95"/>
      <c r="M778" s="104"/>
      <c r="N778" s="137">
        <v>295.45999999999998</v>
      </c>
      <c r="O778" s="138">
        <v>500</v>
      </c>
      <c r="P778" s="138">
        <v>254.79</v>
      </c>
      <c r="Q778" s="138">
        <v>500</v>
      </c>
      <c r="R778" s="138">
        <v>500</v>
      </c>
      <c r="S778" s="139">
        <v>500</v>
      </c>
      <c r="T778" s="322">
        <f t="shared" si="158"/>
        <v>204.54000000000002</v>
      </c>
      <c r="U778" s="140">
        <f t="shared" si="159"/>
        <v>0.692276450280918</v>
      </c>
      <c r="V778" s="322">
        <f t="shared" si="173"/>
        <v>0</v>
      </c>
      <c r="W778" s="140">
        <f t="shared" si="160"/>
        <v>0</v>
      </c>
      <c r="X778" s="322">
        <f t="shared" si="161"/>
        <v>245.21</v>
      </c>
      <c r="Y778" s="140">
        <f t="shared" si="162"/>
        <v>0.96240040817928496</v>
      </c>
      <c r="Z778" s="519">
        <v>285.52</v>
      </c>
      <c r="AA778" s="111">
        <f t="shared" si="174"/>
        <v>380.69333333333333</v>
      </c>
      <c r="AB778" s="111">
        <f t="shared" si="175"/>
        <v>-125.90333333333334</v>
      </c>
    </row>
    <row r="779" spans="1:28" ht="18" customHeight="1">
      <c r="A779" s="121" t="s">
        <v>1780</v>
      </c>
      <c r="B779" s="128" t="s">
        <v>1768</v>
      </c>
      <c r="C779" s="106" t="s">
        <v>3186</v>
      </c>
      <c r="D779" s="106" t="s">
        <v>2631</v>
      </c>
      <c r="E779" s="559" t="s">
        <v>5574</v>
      </c>
      <c r="F779" s="559" t="s">
        <v>1781</v>
      </c>
      <c r="G779" s="555" t="s">
        <v>1133</v>
      </c>
      <c r="H779" s="555" t="s">
        <v>3197</v>
      </c>
      <c r="I779" s="556" t="s">
        <v>1779</v>
      </c>
      <c r="J779" s="557" t="s">
        <v>1775</v>
      </c>
      <c r="K779" s="558" t="s">
        <v>1779</v>
      </c>
      <c r="L779" s="95"/>
      <c r="M779" s="104"/>
      <c r="N779" s="137">
        <v>0</v>
      </c>
      <c r="O779" s="138">
        <v>0</v>
      </c>
      <c r="P779" s="138">
        <v>0</v>
      </c>
      <c r="Q779" s="138">
        <v>0</v>
      </c>
      <c r="R779" s="138">
        <v>0</v>
      </c>
      <c r="S779" s="139">
        <v>0</v>
      </c>
      <c r="T779" s="322">
        <f t="shared" si="158"/>
        <v>0</v>
      </c>
      <c r="U779" s="140" t="str">
        <f t="shared" si="159"/>
        <v/>
      </c>
      <c r="V779" s="322">
        <f t="shared" si="173"/>
        <v>0</v>
      </c>
      <c r="W779" s="140" t="str">
        <f t="shared" si="160"/>
        <v/>
      </c>
      <c r="X779" s="322">
        <f t="shared" si="161"/>
        <v>0</v>
      </c>
      <c r="Y779" s="140" t="str">
        <f t="shared" si="162"/>
        <v/>
      </c>
      <c r="Z779" s="519">
        <v>0</v>
      </c>
      <c r="AA779" s="111">
        <f t="shared" si="174"/>
        <v>0</v>
      </c>
      <c r="AB779" s="111">
        <f t="shared" si="175"/>
        <v>0</v>
      </c>
    </row>
    <row r="780" spans="1:28" ht="18" customHeight="1">
      <c r="A780" s="122" t="s">
        <v>1782</v>
      </c>
      <c r="B780" s="129" t="s">
        <v>1768</v>
      </c>
      <c r="C780" s="107" t="s">
        <v>3187</v>
      </c>
      <c r="D780" s="107" t="s">
        <v>3185</v>
      </c>
      <c r="E780" s="554" t="s">
        <v>1783</v>
      </c>
      <c r="F780" s="534" t="s">
        <v>3198</v>
      </c>
      <c r="G780" s="555"/>
      <c r="H780" s="555"/>
      <c r="I780" s="556"/>
      <c r="J780" s="557"/>
      <c r="K780" s="558"/>
      <c r="L780" s="95"/>
      <c r="M780" s="104"/>
      <c r="N780" s="137">
        <v>0</v>
      </c>
      <c r="O780" s="138">
        <v>0</v>
      </c>
      <c r="P780" s="138">
        <v>0</v>
      </c>
      <c r="Q780" s="138">
        <v>0</v>
      </c>
      <c r="R780" s="138">
        <v>0</v>
      </c>
      <c r="S780" s="139">
        <v>0</v>
      </c>
      <c r="T780" s="322">
        <f t="shared" si="158"/>
        <v>0</v>
      </c>
      <c r="U780" s="140" t="str">
        <f t="shared" si="159"/>
        <v/>
      </c>
      <c r="V780" s="322">
        <f t="shared" si="173"/>
        <v>0</v>
      </c>
      <c r="W780" s="140" t="str">
        <f t="shared" si="160"/>
        <v/>
      </c>
      <c r="X780" s="322">
        <f t="shared" si="161"/>
        <v>0</v>
      </c>
      <c r="Y780" s="140" t="str">
        <f t="shared" si="162"/>
        <v/>
      </c>
      <c r="Z780" s="519">
        <v>0</v>
      </c>
      <c r="AA780" s="111">
        <f t="shared" si="174"/>
        <v>0</v>
      </c>
      <c r="AB780" s="111">
        <f t="shared" si="175"/>
        <v>0</v>
      </c>
    </row>
    <row r="781" spans="1:28" ht="36.75" customHeight="1">
      <c r="A781" s="121" t="s">
        <v>5094</v>
      </c>
      <c r="B781" s="305" t="s">
        <v>1768</v>
      </c>
      <c r="C781" s="306" t="s">
        <v>3187</v>
      </c>
      <c r="D781" s="306" t="s">
        <v>3099</v>
      </c>
      <c r="E781" s="561" t="s">
        <v>5095</v>
      </c>
      <c r="F781" s="561" t="s">
        <v>5357</v>
      </c>
      <c r="G781" s="548" t="s">
        <v>4906</v>
      </c>
      <c r="H781" s="548" t="s">
        <v>5096</v>
      </c>
      <c r="I781" s="549" t="s">
        <v>5097</v>
      </c>
      <c r="J781" s="550" t="s">
        <v>1775</v>
      </c>
      <c r="K781" s="551" t="s">
        <v>1779</v>
      </c>
      <c r="L781" s="95"/>
      <c r="M781" s="104"/>
      <c r="N781" s="137">
        <v>0</v>
      </c>
      <c r="O781" s="138">
        <v>0</v>
      </c>
      <c r="P781" s="138">
        <v>0</v>
      </c>
      <c r="Q781" s="138">
        <v>0</v>
      </c>
      <c r="R781" s="138">
        <v>0</v>
      </c>
      <c r="S781" s="139">
        <v>0</v>
      </c>
      <c r="T781" s="322">
        <f t="shared" ref="T781" si="176">IF(N781="","",Q781-N781)</f>
        <v>0</v>
      </c>
      <c r="U781" s="140" t="str">
        <f t="shared" ref="U781" si="177">IF(N781=0,"",T781/N781)</f>
        <v/>
      </c>
      <c r="V781" s="322">
        <f t="shared" si="173"/>
        <v>0</v>
      </c>
      <c r="W781" s="140" t="str">
        <f t="shared" ref="W781" si="178">IF(O781=0,"",V781/O781)</f>
        <v/>
      </c>
      <c r="X781" s="322">
        <f t="shared" ref="X781" si="179">IF(P781="","",Q781-P781)</f>
        <v>0</v>
      </c>
      <c r="Y781" s="140" t="str">
        <f t="shared" ref="Y781" si="180">IF(P781=0,"",X781/P781)</f>
        <v/>
      </c>
      <c r="Z781" s="519">
        <v>0</v>
      </c>
      <c r="AA781" s="111">
        <f t="shared" si="174"/>
        <v>0</v>
      </c>
      <c r="AB781" s="111">
        <f t="shared" si="175"/>
        <v>0</v>
      </c>
    </row>
    <row r="782" spans="1:28" ht="26.25" customHeight="1">
      <c r="A782" s="121" t="s">
        <v>3199</v>
      </c>
      <c r="B782" s="128" t="s">
        <v>1768</v>
      </c>
      <c r="C782" s="106" t="s">
        <v>3187</v>
      </c>
      <c r="D782" s="106" t="s">
        <v>2833</v>
      </c>
      <c r="E782" s="540" t="s">
        <v>4404</v>
      </c>
      <c r="F782" s="540" t="s">
        <v>4405</v>
      </c>
      <c r="G782" s="555" t="s">
        <v>266</v>
      </c>
      <c r="H782" s="512" t="s">
        <v>5098</v>
      </c>
      <c r="I782" s="556" t="s">
        <v>3200</v>
      </c>
      <c r="J782" s="557" t="s">
        <v>1775</v>
      </c>
      <c r="K782" s="558" t="s">
        <v>1779</v>
      </c>
      <c r="L782" s="95"/>
      <c r="M782" s="104"/>
      <c r="N782" s="137">
        <v>0</v>
      </c>
      <c r="O782" s="138">
        <v>0</v>
      </c>
      <c r="P782" s="138">
        <v>0</v>
      </c>
      <c r="Q782" s="138">
        <v>0</v>
      </c>
      <c r="R782" s="138">
        <v>0</v>
      </c>
      <c r="S782" s="139">
        <v>0</v>
      </c>
      <c r="T782" s="322">
        <f t="shared" si="158"/>
        <v>0</v>
      </c>
      <c r="U782" s="140" t="str">
        <f t="shared" si="159"/>
        <v/>
      </c>
      <c r="V782" s="322">
        <f t="shared" si="173"/>
        <v>0</v>
      </c>
      <c r="W782" s="140" t="str">
        <f t="shared" si="160"/>
        <v/>
      </c>
      <c r="X782" s="322">
        <f t="shared" si="161"/>
        <v>0</v>
      </c>
      <c r="Y782" s="140" t="str">
        <f t="shared" si="162"/>
        <v/>
      </c>
      <c r="Z782" s="519">
        <v>0</v>
      </c>
      <c r="AA782" s="111">
        <f t="shared" si="174"/>
        <v>0</v>
      </c>
      <c r="AB782" s="111">
        <f t="shared" si="175"/>
        <v>0</v>
      </c>
    </row>
    <row r="783" spans="1:28" ht="18" customHeight="1">
      <c r="A783" s="121" t="s">
        <v>3201</v>
      </c>
      <c r="B783" s="128" t="s">
        <v>1768</v>
      </c>
      <c r="C783" s="106" t="s">
        <v>3187</v>
      </c>
      <c r="D783" s="106" t="s">
        <v>1378</v>
      </c>
      <c r="E783" s="540" t="s">
        <v>3202</v>
      </c>
      <c r="F783" s="540" t="s">
        <v>3203</v>
      </c>
      <c r="G783" s="555" t="s">
        <v>267</v>
      </c>
      <c r="H783" s="512" t="s">
        <v>5099</v>
      </c>
      <c r="I783" s="556" t="s">
        <v>3204</v>
      </c>
      <c r="J783" s="557" t="s">
        <v>1775</v>
      </c>
      <c r="K783" s="558" t="s">
        <v>1779</v>
      </c>
      <c r="L783" s="95"/>
      <c r="M783" s="104"/>
      <c r="N783" s="137">
        <v>0</v>
      </c>
      <c r="O783" s="138">
        <v>0</v>
      </c>
      <c r="P783" s="138">
        <v>0</v>
      </c>
      <c r="Q783" s="138">
        <v>0</v>
      </c>
      <c r="R783" s="138">
        <v>0</v>
      </c>
      <c r="S783" s="139">
        <v>0</v>
      </c>
      <c r="T783" s="322">
        <f t="shared" si="158"/>
        <v>0</v>
      </c>
      <c r="U783" s="140" t="str">
        <f t="shared" si="159"/>
        <v/>
      </c>
      <c r="V783" s="322">
        <f t="shared" si="173"/>
        <v>0</v>
      </c>
      <c r="W783" s="140" t="str">
        <f t="shared" si="160"/>
        <v/>
      </c>
      <c r="X783" s="322">
        <f t="shared" si="161"/>
        <v>0</v>
      </c>
      <c r="Y783" s="140" t="str">
        <f t="shared" si="162"/>
        <v/>
      </c>
      <c r="Z783" s="519">
        <v>0</v>
      </c>
      <c r="AA783" s="111">
        <f t="shared" si="174"/>
        <v>0</v>
      </c>
      <c r="AB783" s="111">
        <f t="shared" si="175"/>
        <v>0</v>
      </c>
    </row>
    <row r="784" spans="1:28" ht="26.25" customHeight="1">
      <c r="A784" s="121" t="s">
        <v>3205</v>
      </c>
      <c r="B784" s="128" t="s">
        <v>1768</v>
      </c>
      <c r="C784" s="106" t="s">
        <v>3187</v>
      </c>
      <c r="D784" s="106" t="s">
        <v>1379</v>
      </c>
      <c r="E784" s="540" t="s">
        <v>3206</v>
      </c>
      <c r="F784" s="540" t="s">
        <v>3207</v>
      </c>
      <c r="G784" s="555" t="s">
        <v>268</v>
      </c>
      <c r="H784" s="512" t="s">
        <v>5100</v>
      </c>
      <c r="I784" s="556" t="s">
        <v>3208</v>
      </c>
      <c r="J784" s="557" t="s">
        <v>1775</v>
      </c>
      <c r="K784" s="558" t="s">
        <v>1779</v>
      </c>
      <c r="L784" s="95"/>
      <c r="M784" s="104"/>
      <c r="N784" s="137">
        <v>0</v>
      </c>
      <c r="O784" s="138">
        <v>0</v>
      </c>
      <c r="P784" s="138">
        <v>0</v>
      </c>
      <c r="Q784" s="138">
        <v>0</v>
      </c>
      <c r="R784" s="138">
        <v>0</v>
      </c>
      <c r="S784" s="139">
        <v>0</v>
      </c>
      <c r="T784" s="322">
        <f t="shared" si="158"/>
        <v>0</v>
      </c>
      <c r="U784" s="140" t="str">
        <f t="shared" si="159"/>
        <v/>
      </c>
      <c r="V784" s="322">
        <f t="shared" si="173"/>
        <v>0</v>
      </c>
      <c r="W784" s="140" t="str">
        <f t="shared" si="160"/>
        <v/>
      </c>
      <c r="X784" s="322">
        <f t="shared" si="161"/>
        <v>0</v>
      </c>
      <c r="Y784" s="140" t="str">
        <f t="shared" si="162"/>
        <v/>
      </c>
      <c r="Z784" s="519">
        <v>0</v>
      </c>
      <c r="AA784" s="111">
        <f t="shared" si="174"/>
        <v>0</v>
      </c>
      <c r="AB784" s="111">
        <f t="shared" si="175"/>
        <v>0</v>
      </c>
    </row>
    <row r="785" spans="1:28" ht="26.25" customHeight="1">
      <c r="A785" s="121" t="s">
        <v>3209</v>
      </c>
      <c r="B785" s="128" t="s">
        <v>1768</v>
      </c>
      <c r="C785" s="106" t="s">
        <v>3187</v>
      </c>
      <c r="D785" s="106" t="s">
        <v>2467</v>
      </c>
      <c r="E785" s="540" t="s">
        <v>3210</v>
      </c>
      <c r="F785" s="540" t="s">
        <v>3211</v>
      </c>
      <c r="G785" s="555" t="s">
        <v>1129</v>
      </c>
      <c r="H785" s="512" t="s">
        <v>5101</v>
      </c>
      <c r="I785" s="556" t="s">
        <v>3212</v>
      </c>
      <c r="J785" s="557" t="s">
        <v>1775</v>
      </c>
      <c r="K785" s="558" t="s">
        <v>1779</v>
      </c>
      <c r="L785" s="95"/>
      <c r="M785" s="104"/>
      <c r="N785" s="137">
        <v>0</v>
      </c>
      <c r="O785" s="138">
        <v>0</v>
      </c>
      <c r="P785" s="138">
        <v>0</v>
      </c>
      <c r="Q785" s="138">
        <v>0</v>
      </c>
      <c r="R785" s="138">
        <v>0</v>
      </c>
      <c r="S785" s="139">
        <v>0</v>
      </c>
      <c r="T785" s="322">
        <f t="shared" si="158"/>
        <v>0</v>
      </c>
      <c r="U785" s="140" t="str">
        <f t="shared" si="159"/>
        <v/>
      </c>
      <c r="V785" s="322">
        <f t="shared" si="173"/>
        <v>0</v>
      </c>
      <c r="W785" s="140" t="str">
        <f t="shared" si="160"/>
        <v/>
      </c>
      <c r="X785" s="322">
        <f t="shared" si="161"/>
        <v>0</v>
      </c>
      <c r="Y785" s="140" t="str">
        <f t="shared" si="162"/>
        <v/>
      </c>
      <c r="Z785" s="519">
        <v>0</v>
      </c>
      <c r="AA785" s="111">
        <f t="shared" si="174"/>
        <v>0</v>
      </c>
      <c r="AB785" s="111">
        <f t="shared" si="175"/>
        <v>0</v>
      </c>
    </row>
    <row r="786" spans="1:28" ht="37.5" customHeight="1">
      <c r="A786" s="121" t="s">
        <v>3213</v>
      </c>
      <c r="B786" s="128" t="s">
        <v>1768</v>
      </c>
      <c r="C786" s="106" t="s">
        <v>3187</v>
      </c>
      <c r="D786" s="106" t="s">
        <v>2138</v>
      </c>
      <c r="E786" s="540" t="s">
        <v>4336</v>
      </c>
      <c r="F786" s="540" t="s">
        <v>5358</v>
      </c>
      <c r="G786" s="555" t="s">
        <v>1130</v>
      </c>
      <c r="H786" s="512" t="s">
        <v>5102</v>
      </c>
      <c r="I786" s="556" t="s">
        <v>2633</v>
      </c>
      <c r="J786" s="557" t="s">
        <v>1775</v>
      </c>
      <c r="K786" s="558" t="s">
        <v>1779</v>
      </c>
      <c r="L786" s="95"/>
      <c r="M786" s="104"/>
      <c r="N786" s="137">
        <v>0</v>
      </c>
      <c r="O786" s="138">
        <v>0</v>
      </c>
      <c r="P786" s="138">
        <v>0</v>
      </c>
      <c r="Q786" s="138">
        <v>0</v>
      </c>
      <c r="R786" s="138">
        <v>0</v>
      </c>
      <c r="S786" s="139">
        <v>0</v>
      </c>
      <c r="T786" s="322">
        <f t="shared" si="158"/>
        <v>0</v>
      </c>
      <c r="U786" s="140" t="str">
        <f t="shared" si="159"/>
        <v/>
      </c>
      <c r="V786" s="322">
        <f t="shared" si="173"/>
        <v>0</v>
      </c>
      <c r="W786" s="140" t="str">
        <f t="shared" si="160"/>
        <v/>
      </c>
      <c r="X786" s="322">
        <f t="shared" si="161"/>
        <v>0</v>
      </c>
      <c r="Y786" s="140" t="str">
        <f t="shared" si="162"/>
        <v/>
      </c>
      <c r="Z786" s="519">
        <v>0</v>
      </c>
      <c r="AA786" s="111">
        <f t="shared" si="174"/>
        <v>0</v>
      </c>
      <c r="AB786" s="111">
        <f t="shared" si="175"/>
        <v>0</v>
      </c>
    </row>
    <row r="787" spans="1:28" ht="26.25" customHeight="1">
      <c r="A787" s="121" t="s">
        <v>2634</v>
      </c>
      <c r="B787" s="128" t="s">
        <v>1768</v>
      </c>
      <c r="C787" s="106" t="s">
        <v>3187</v>
      </c>
      <c r="D787" s="106" t="s">
        <v>2468</v>
      </c>
      <c r="E787" s="540" t="s">
        <v>4337</v>
      </c>
      <c r="F787" s="540" t="s">
        <v>2635</v>
      </c>
      <c r="G787" s="555" t="s">
        <v>1131</v>
      </c>
      <c r="H787" s="512" t="s">
        <v>5103</v>
      </c>
      <c r="I787" s="556" t="s">
        <v>2636</v>
      </c>
      <c r="J787" s="557" t="s">
        <v>1775</v>
      </c>
      <c r="K787" s="558" t="s">
        <v>1779</v>
      </c>
      <c r="L787" s="95"/>
      <c r="M787" s="104"/>
      <c r="N787" s="137">
        <v>0</v>
      </c>
      <c r="O787" s="138">
        <v>0</v>
      </c>
      <c r="P787" s="138">
        <v>0</v>
      </c>
      <c r="Q787" s="138">
        <v>0</v>
      </c>
      <c r="R787" s="138">
        <v>0</v>
      </c>
      <c r="S787" s="139">
        <v>0</v>
      </c>
      <c r="T787" s="322">
        <f t="shared" si="158"/>
        <v>0</v>
      </c>
      <c r="U787" s="140" t="str">
        <f t="shared" si="159"/>
        <v/>
      </c>
      <c r="V787" s="322">
        <f t="shared" si="173"/>
        <v>0</v>
      </c>
      <c r="W787" s="140" t="str">
        <f t="shared" si="160"/>
        <v/>
      </c>
      <c r="X787" s="322">
        <f t="shared" si="161"/>
        <v>0</v>
      </c>
      <c r="Y787" s="140" t="str">
        <f t="shared" si="162"/>
        <v/>
      </c>
      <c r="Z787" s="519">
        <v>0</v>
      </c>
      <c r="AA787" s="111">
        <f t="shared" si="174"/>
        <v>0</v>
      </c>
      <c r="AB787" s="111">
        <f t="shared" si="175"/>
        <v>0</v>
      </c>
    </row>
    <row r="788" spans="1:28" ht="14.25" customHeight="1">
      <c r="A788" s="121" t="s">
        <v>2637</v>
      </c>
      <c r="B788" s="128" t="s">
        <v>1768</v>
      </c>
      <c r="C788" s="106" t="s">
        <v>3187</v>
      </c>
      <c r="D788" s="106" t="s">
        <v>2470</v>
      </c>
      <c r="E788" s="540" t="s">
        <v>2638</v>
      </c>
      <c r="F788" s="540" t="s">
        <v>2639</v>
      </c>
      <c r="G788" s="555" t="s">
        <v>1132</v>
      </c>
      <c r="H788" s="512" t="s">
        <v>5104</v>
      </c>
      <c r="I788" s="556" t="s">
        <v>2640</v>
      </c>
      <c r="J788" s="557" t="s">
        <v>1775</v>
      </c>
      <c r="K788" s="558" t="s">
        <v>1779</v>
      </c>
      <c r="L788" s="95"/>
      <c r="M788" s="104"/>
      <c r="N788" s="137">
        <v>2234083.4500000002</v>
      </c>
      <c r="O788" s="138">
        <v>0</v>
      </c>
      <c r="P788" s="138">
        <v>40542.6</v>
      </c>
      <c r="Q788" s="138">
        <v>0</v>
      </c>
      <c r="R788" s="138">
        <v>0</v>
      </c>
      <c r="S788" s="139">
        <v>0</v>
      </c>
      <c r="T788" s="322">
        <f t="shared" si="158"/>
        <v>-2234083.4500000002</v>
      </c>
      <c r="U788" s="140">
        <f t="shared" si="159"/>
        <v>-1</v>
      </c>
      <c r="V788" s="322">
        <f t="shared" si="173"/>
        <v>0</v>
      </c>
      <c r="W788" s="140" t="str">
        <f t="shared" si="160"/>
        <v/>
      </c>
      <c r="X788" s="322">
        <f t="shared" si="161"/>
        <v>-40542.6</v>
      </c>
      <c r="Y788" s="140">
        <f t="shared" si="162"/>
        <v>-1</v>
      </c>
      <c r="Z788" s="519">
        <v>40542.6</v>
      </c>
      <c r="AA788" s="111">
        <f t="shared" si="174"/>
        <v>54056.799999999996</v>
      </c>
      <c r="AB788" s="111">
        <f t="shared" si="175"/>
        <v>-13514.199999999997</v>
      </c>
    </row>
    <row r="789" spans="1:28" ht="26.25" customHeight="1">
      <c r="A789" s="122" t="s">
        <v>2641</v>
      </c>
      <c r="B789" s="129" t="s">
        <v>1768</v>
      </c>
      <c r="C789" s="107" t="s">
        <v>2866</v>
      </c>
      <c r="D789" s="107" t="s">
        <v>3185</v>
      </c>
      <c r="E789" s="554" t="s">
        <v>2642</v>
      </c>
      <c r="F789" s="554" t="s">
        <v>2643</v>
      </c>
      <c r="G789" s="555"/>
      <c r="H789" s="555"/>
      <c r="I789" s="556"/>
      <c r="J789" s="557"/>
      <c r="K789" s="558"/>
      <c r="L789" s="95"/>
      <c r="M789" s="104"/>
      <c r="N789" s="137">
        <v>0</v>
      </c>
      <c r="O789" s="138">
        <v>0</v>
      </c>
      <c r="P789" s="138">
        <v>0</v>
      </c>
      <c r="Q789" s="138">
        <v>0</v>
      </c>
      <c r="R789" s="138">
        <v>0</v>
      </c>
      <c r="S789" s="139">
        <v>0</v>
      </c>
      <c r="T789" s="322">
        <f t="shared" si="158"/>
        <v>0</v>
      </c>
      <c r="U789" s="140" t="str">
        <f t="shared" si="159"/>
        <v/>
      </c>
      <c r="V789" s="322">
        <f t="shared" si="173"/>
        <v>0</v>
      </c>
      <c r="W789" s="140" t="str">
        <f t="shared" si="160"/>
        <v/>
      </c>
      <c r="X789" s="322">
        <f t="shared" si="161"/>
        <v>0</v>
      </c>
      <c r="Y789" s="140" t="str">
        <f t="shared" si="162"/>
        <v/>
      </c>
      <c r="Z789" s="519">
        <v>0</v>
      </c>
      <c r="AA789" s="111">
        <f t="shared" si="174"/>
        <v>0</v>
      </c>
      <c r="AB789" s="111">
        <f t="shared" si="175"/>
        <v>0</v>
      </c>
    </row>
    <row r="790" spans="1:28" ht="26.25" customHeight="1">
      <c r="A790" s="121" t="s">
        <v>2644</v>
      </c>
      <c r="B790" s="128" t="s">
        <v>1768</v>
      </c>
      <c r="C790" s="106" t="s">
        <v>2866</v>
      </c>
      <c r="D790" s="106" t="s">
        <v>3183</v>
      </c>
      <c r="E790" s="540" t="s">
        <v>2642</v>
      </c>
      <c r="F790" s="540" t="s">
        <v>2643</v>
      </c>
      <c r="G790" s="555" t="s">
        <v>431</v>
      </c>
      <c r="H790" s="555" t="s">
        <v>2645</v>
      </c>
      <c r="I790" s="544" t="s">
        <v>2646</v>
      </c>
      <c r="J790" s="557" t="s">
        <v>1775</v>
      </c>
      <c r="K790" s="558" t="s">
        <v>1779</v>
      </c>
      <c r="L790" s="95"/>
      <c r="M790" s="104"/>
      <c r="N790" s="137">
        <v>0</v>
      </c>
      <c r="O790" s="138">
        <v>0</v>
      </c>
      <c r="P790" s="138">
        <v>0</v>
      </c>
      <c r="Q790" s="138">
        <v>0</v>
      </c>
      <c r="R790" s="138">
        <v>0</v>
      </c>
      <c r="S790" s="139">
        <v>0</v>
      </c>
      <c r="T790" s="322">
        <f t="shared" si="158"/>
        <v>0</v>
      </c>
      <c r="U790" s="140" t="str">
        <f t="shared" si="159"/>
        <v/>
      </c>
      <c r="V790" s="322">
        <f t="shared" si="173"/>
        <v>0</v>
      </c>
      <c r="W790" s="140" t="str">
        <f t="shared" si="160"/>
        <v/>
      </c>
      <c r="X790" s="322">
        <f t="shared" si="161"/>
        <v>0</v>
      </c>
      <c r="Y790" s="140" t="str">
        <f t="shared" si="162"/>
        <v/>
      </c>
      <c r="Z790" s="519">
        <v>0</v>
      </c>
      <c r="AA790" s="111">
        <f t="shared" si="174"/>
        <v>0</v>
      </c>
      <c r="AB790" s="111">
        <f t="shared" si="175"/>
        <v>0</v>
      </c>
    </row>
    <row r="791" spans="1:28" ht="15.75" customHeight="1">
      <c r="A791" s="122" t="s">
        <v>1784</v>
      </c>
      <c r="B791" s="129" t="s">
        <v>1768</v>
      </c>
      <c r="C791" s="107" t="s">
        <v>3189</v>
      </c>
      <c r="D791" s="107" t="s">
        <v>3185</v>
      </c>
      <c r="E791" s="534" t="s">
        <v>1785</v>
      </c>
      <c r="F791" s="534" t="s">
        <v>5609</v>
      </c>
      <c r="G791" s="555"/>
      <c r="H791" s="555"/>
      <c r="I791" s="556"/>
      <c r="J791" s="557"/>
      <c r="K791" s="558"/>
      <c r="L791" s="95"/>
      <c r="M791" s="104"/>
      <c r="N791" s="137">
        <v>0</v>
      </c>
      <c r="O791" s="138">
        <v>0</v>
      </c>
      <c r="P791" s="138">
        <v>0</v>
      </c>
      <c r="Q791" s="138">
        <v>0</v>
      </c>
      <c r="R791" s="138">
        <v>0</v>
      </c>
      <c r="S791" s="139">
        <v>0</v>
      </c>
      <c r="T791" s="322">
        <f t="shared" si="158"/>
        <v>0</v>
      </c>
      <c r="U791" s="140" t="str">
        <f t="shared" si="159"/>
        <v/>
      </c>
      <c r="V791" s="322">
        <f t="shared" si="173"/>
        <v>0</v>
      </c>
      <c r="W791" s="140" t="str">
        <f t="shared" si="160"/>
        <v/>
      </c>
      <c r="X791" s="322">
        <f t="shared" si="161"/>
        <v>0</v>
      </c>
      <c r="Y791" s="140" t="str">
        <f t="shared" si="162"/>
        <v/>
      </c>
      <c r="Z791" s="519">
        <v>0</v>
      </c>
      <c r="AA791" s="111">
        <f t="shared" si="174"/>
        <v>0</v>
      </c>
      <c r="AB791" s="111">
        <f t="shared" si="175"/>
        <v>0</v>
      </c>
    </row>
    <row r="792" spans="1:28" ht="15.75" customHeight="1">
      <c r="A792" s="121" t="s">
        <v>1786</v>
      </c>
      <c r="B792" s="128" t="s">
        <v>1768</v>
      </c>
      <c r="C792" s="106" t="s">
        <v>3189</v>
      </c>
      <c r="D792" s="106" t="s">
        <v>3183</v>
      </c>
      <c r="E792" s="540" t="s">
        <v>1787</v>
      </c>
      <c r="F792" s="540" t="s">
        <v>5575</v>
      </c>
      <c r="G792" s="555" t="s">
        <v>847</v>
      </c>
      <c r="H792" s="555" t="s">
        <v>2647</v>
      </c>
      <c r="I792" s="556" t="s">
        <v>1788</v>
      </c>
      <c r="J792" s="557" t="s">
        <v>2914</v>
      </c>
      <c r="K792" s="558" t="s">
        <v>2915</v>
      </c>
      <c r="L792" s="95"/>
      <c r="M792" s="104"/>
      <c r="N792" s="137">
        <v>0</v>
      </c>
      <c r="O792" s="138">
        <v>0</v>
      </c>
      <c r="P792" s="138">
        <v>0</v>
      </c>
      <c r="Q792" s="138">
        <v>0</v>
      </c>
      <c r="R792" s="138">
        <v>0</v>
      </c>
      <c r="S792" s="139">
        <v>0</v>
      </c>
      <c r="T792" s="322">
        <f t="shared" si="158"/>
        <v>0</v>
      </c>
      <c r="U792" s="140" t="str">
        <f t="shared" si="159"/>
        <v/>
      </c>
      <c r="V792" s="322">
        <f t="shared" si="173"/>
        <v>0</v>
      </c>
      <c r="W792" s="140" t="str">
        <f t="shared" si="160"/>
        <v/>
      </c>
      <c r="X792" s="322">
        <f t="shared" si="161"/>
        <v>0</v>
      </c>
      <c r="Y792" s="140" t="str">
        <f t="shared" si="162"/>
        <v/>
      </c>
      <c r="Z792" s="519">
        <v>0</v>
      </c>
      <c r="AA792" s="111">
        <f t="shared" si="174"/>
        <v>0</v>
      </c>
      <c r="AB792" s="111">
        <f t="shared" si="175"/>
        <v>0</v>
      </c>
    </row>
    <row r="793" spans="1:28" ht="15.75" customHeight="1">
      <c r="A793" s="121" t="s">
        <v>1789</v>
      </c>
      <c r="B793" s="128" t="s">
        <v>1768</v>
      </c>
      <c r="C793" s="106" t="s">
        <v>3189</v>
      </c>
      <c r="D793" s="106" t="s">
        <v>3193</v>
      </c>
      <c r="E793" s="540" t="s">
        <v>1790</v>
      </c>
      <c r="F793" s="540" t="s">
        <v>5576</v>
      </c>
      <c r="G793" s="555" t="s">
        <v>847</v>
      </c>
      <c r="H793" s="555" t="s">
        <v>2647</v>
      </c>
      <c r="I793" s="556" t="s">
        <v>1788</v>
      </c>
      <c r="J793" s="557" t="s">
        <v>2914</v>
      </c>
      <c r="K793" s="558" t="s">
        <v>2915</v>
      </c>
      <c r="L793" s="95"/>
      <c r="M793" s="104"/>
      <c r="N793" s="137">
        <v>0</v>
      </c>
      <c r="O793" s="138">
        <v>0</v>
      </c>
      <c r="P793" s="138">
        <v>0</v>
      </c>
      <c r="Q793" s="138">
        <v>0</v>
      </c>
      <c r="R793" s="138">
        <v>0</v>
      </c>
      <c r="S793" s="139">
        <v>0</v>
      </c>
      <c r="T793" s="322">
        <f t="shared" si="158"/>
        <v>0</v>
      </c>
      <c r="U793" s="140" t="str">
        <f t="shared" si="159"/>
        <v/>
      </c>
      <c r="V793" s="322">
        <f t="shared" si="173"/>
        <v>0</v>
      </c>
      <c r="W793" s="140" t="str">
        <f t="shared" si="160"/>
        <v/>
      </c>
      <c r="X793" s="322">
        <f t="shared" si="161"/>
        <v>0</v>
      </c>
      <c r="Y793" s="140" t="str">
        <f t="shared" si="162"/>
        <v/>
      </c>
      <c r="Z793" s="519">
        <v>0</v>
      </c>
      <c r="AA793" s="111">
        <f t="shared" si="174"/>
        <v>0</v>
      </c>
      <c r="AB793" s="111">
        <f t="shared" si="175"/>
        <v>0</v>
      </c>
    </row>
    <row r="794" spans="1:28" ht="26.25" customHeight="1">
      <c r="A794" s="113" t="s">
        <v>1791</v>
      </c>
      <c r="B794" s="135" t="s">
        <v>1792</v>
      </c>
      <c r="C794" s="136" t="s">
        <v>3184</v>
      </c>
      <c r="D794" s="136" t="s">
        <v>3185</v>
      </c>
      <c r="E794" s="529" t="s">
        <v>1794</v>
      </c>
      <c r="F794" s="529" t="s">
        <v>1793</v>
      </c>
      <c r="G794" s="530"/>
      <c r="H794" s="530"/>
      <c r="I794" s="531"/>
      <c r="J794" s="532"/>
      <c r="K794" s="533"/>
      <c r="L794" s="95"/>
      <c r="M794" s="147"/>
      <c r="N794" s="137">
        <v>0</v>
      </c>
      <c r="O794" s="138">
        <v>0</v>
      </c>
      <c r="P794" s="138">
        <v>0</v>
      </c>
      <c r="Q794" s="138">
        <v>0</v>
      </c>
      <c r="R794" s="138">
        <v>0</v>
      </c>
      <c r="S794" s="139">
        <v>0</v>
      </c>
      <c r="T794" s="322">
        <f t="shared" si="158"/>
        <v>0</v>
      </c>
      <c r="U794" s="140" t="str">
        <f t="shared" si="159"/>
        <v/>
      </c>
      <c r="V794" s="322">
        <f t="shared" si="173"/>
        <v>0</v>
      </c>
      <c r="W794" s="140" t="str">
        <f t="shared" si="160"/>
        <v/>
      </c>
      <c r="X794" s="322">
        <f t="shared" si="161"/>
        <v>0</v>
      </c>
      <c r="Y794" s="140" t="str">
        <f t="shared" si="162"/>
        <v/>
      </c>
      <c r="Z794" s="519">
        <v>0</v>
      </c>
      <c r="AA794" s="111">
        <f t="shared" si="174"/>
        <v>0</v>
      </c>
      <c r="AB794" s="111">
        <f t="shared" si="175"/>
        <v>0</v>
      </c>
    </row>
    <row r="795" spans="1:28" ht="26.25" customHeight="1">
      <c r="A795" s="122" t="s">
        <v>1795</v>
      </c>
      <c r="B795" s="129" t="s">
        <v>1792</v>
      </c>
      <c r="C795" s="107" t="s">
        <v>3186</v>
      </c>
      <c r="D795" s="107" t="s">
        <v>3185</v>
      </c>
      <c r="E795" s="534" t="s">
        <v>1794</v>
      </c>
      <c r="F795" s="534" t="s">
        <v>1793</v>
      </c>
      <c r="G795" s="555"/>
      <c r="H795" s="555"/>
      <c r="I795" s="556"/>
      <c r="J795" s="557"/>
      <c r="K795" s="558"/>
      <c r="L795" s="95"/>
      <c r="M795" s="104"/>
      <c r="N795" s="137">
        <v>0</v>
      </c>
      <c r="O795" s="138">
        <v>0</v>
      </c>
      <c r="P795" s="138">
        <v>0</v>
      </c>
      <c r="Q795" s="138">
        <v>0</v>
      </c>
      <c r="R795" s="138">
        <v>0</v>
      </c>
      <c r="S795" s="139">
        <v>0</v>
      </c>
      <c r="T795" s="322">
        <f t="shared" si="158"/>
        <v>0</v>
      </c>
      <c r="U795" s="140" t="str">
        <f t="shared" si="159"/>
        <v/>
      </c>
      <c r="V795" s="322">
        <f t="shared" si="173"/>
        <v>0</v>
      </c>
      <c r="W795" s="140" t="str">
        <f t="shared" si="160"/>
        <v/>
      </c>
      <c r="X795" s="322">
        <f t="shared" si="161"/>
        <v>0</v>
      </c>
      <c r="Y795" s="140" t="str">
        <f t="shared" si="162"/>
        <v/>
      </c>
      <c r="Z795" s="519">
        <v>0</v>
      </c>
      <c r="AA795" s="111">
        <f t="shared" si="174"/>
        <v>0</v>
      </c>
      <c r="AB795" s="111">
        <f t="shared" si="175"/>
        <v>0</v>
      </c>
    </row>
    <row r="796" spans="1:28" ht="26.25" customHeight="1">
      <c r="A796" s="121" t="s">
        <v>1796</v>
      </c>
      <c r="B796" s="128" t="s">
        <v>1792</v>
      </c>
      <c r="C796" s="106" t="s">
        <v>3186</v>
      </c>
      <c r="D796" s="106" t="s">
        <v>3183</v>
      </c>
      <c r="E796" s="540" t="s">
        <v>1794</v>
      </c>
      <c r="F796" s="540" t="s">
        <v>1793</v>
      </c>
      <c r="G796" s="555" t="s">
        <v>854</v>
      </c>
      <c r="H796" s="555" t="s">
        <v>1798</v>
      </c>
      <c r="I796" s="556" t="s">
        <v>1797</v>
      </c>
      <c r="J796" s="557" t="s">
        <v>1798</v>
      </c>
      <c r="K796" s="558" t="s">
        <v>2648</v>
      </c>
      <c r="L796" s="95"/>
      <c r="M796" s="104"/>
      <c r="N796" s="137">
        <v>0</v>
      </c>
      <c r="O796" s="138">
        <v>0</v>
      </c>
      <c r="P796" s="138">
        <v>0</v>
      </c>
      <c r="Q796" s="138">
        <v>0</v>
      </c>
      <c r="R796" s="138">
        <v>0</v>
      </c>
      <c r="S796" s="139">
        <v>0</v>
      </c>
      <c r="T796" s="322">
        <f t="shared" si="158"/>
        <v>0</v>
      </c>
      <c r="U796" s="140" t="str">
        <f t="shared" si="159"/>
        <v/>
      </c>
      <c r="V796" s="322">
        <f t="shared" si="173"/>
        <v>0</v>
      </c>
      <c r="W796" s="140" t="str">
        <f t="shared" si="160"/>
        <v/>
      </c>
      <c r="X796" s="322">
        <f t="shared" si="161"/>
        <v>0</v>
      </c>
      <c r="Y796" s="140" t="str">
        <f t="shared" si="162"/>
        <v/>
      </c>
      <c r="Z796" s="519">
        <v>0</v>
      </c>
      <c r="AA796" s="111">
        <f t="shared" si="174"/>
        <v>0</v>
      </c>
      <c r="AB796" s="111">
        <f t="shared" si="175"/>
        <v>0</v>
      </c>
    </row>
    <row r="797" spans="1:28" ht="26.25" customHeight="1">
      <c r="A797" s="121" t="s">
        <v>1799</v>
      </c>
      <c r="B797" s="128" t="s">
        <v>1792</v>
      </c>
      <c r="C797" s="106" t="s">
        <v>3186</v>
      </c>
      <c r="D797" s="106" t="s">
        <v>3193</v>
      </c>
      <c r="E797" s="540" t="s">
        <v>1801</v>
      </c>
      <c r="F797" s="540" t="s">
        <v>1800</v>
      </c>
      <c r="G797" s="555" t="s">
        <v>854</v>
      </c>
      <c r="H797" s="555" t="s">
        <v>1798</v>
      </c>
      <c r="I797" s="556" t="s">
        <v>1797</v>
      </c>
      <c r="J797" s="557" t="s">
        <v>1798</v>
      </c>
      <c r="K797" s="558" t="s">
        <v>2648</v>
      </c>
      <c r="L797" s="95"/>
      <c r="M797" s="104"/>
      <c r="N797" s="137">
        <v>0</v>
      </c>
      <c r="O797" s="138">
        <v>0</v>
      </c>
      <c r="P797" s="138">
        <v>0</v>
      </c>
      <c r="Q797" s="138">
        <v>0</v>
      </c>
      <c r="R797" s="138">
        <v>0</v>
      </c>
      <c r="S797" s="139">
        <v>0</v>
      </c>
      <c r="T797" s="322">
        <f t="shared" si="158"/>
        <v>0</v>
      </c>
      <c r="U797" s="140" t="str">
        <f t="shared" si="159"/>
        <v/>
      </c>
      <c r="V797" s="322">
        <f t="shared" si="173"/>
        <v>0</v>
      </c>
      <c r="W797" s="140" t="str">
        <f t="shared" si="160"/>
        <v/>
      </c>
      <c r="X797" s="322">
        <f t="shared" si="161"/>
        <v>0</v>
      </c>
      <c r="Y797" s="140" t="str">
        <f t="shared" si="162"/>
        <v/>
      </c>
      <c r="Z797" s="519">
        <v>0</v>
      </c>
      <c r="AA797" s="111">
        <f t="shared" si="174"/>
        <v>0</v>
      </c>
      <c r="AB797" s="111">
        <f t="shared" si="175"/>
        <v>0</v>
      </c>
    </row>
    <row r="798" spans="1:28" ht="26.25" customHeight="1">
      <c r="A798" s="121" t="s">
        <v>1802</v>
      </c>
      <c r="B798" s="128" t="s">
        <v>1792</v>
      </c>
      <c r="C798" s="106" t="s">
        <v>3186</v>
      </c>
      <c r="D798" s="106" t="s">
        <v>2631</v>
      </c>
      <c r="E798" s="540" t="s">
        <v>1804</v>
      </c>
      <c r="F798" s="540" t="s">
        <v>1803</v>
      </c>
      <c r="G798" s="555" t="s">
        <v>854</v>
      </c>
      <c r="H798" s="555" t="s">
        <v>1798</v>
      </c>
      <c r="I798" s="556" t="s">
        <v>1797</v>
      </c>
      <c r="J798" s="557" t="s">
        <v>1798</v>
      </c>
      <c r="K798" s="558" t="s">
        <v>2648</v>
      </c>
      <c r="L798" s="95"/>
      <c r="M798" s="104"/>
      <c r="N798" s="137">
        <v>0</v>
      </c>
      <c r="O798" s="138">
        <v>0</v>
      </c>
      <c r="P798" s="138">
        <v>0</v>
      </c>
      <c r="Q798" s="138">
        <v>0</v>
      </c>
      <c r="R798" s="138">
        <v>0</v>
      </c>
      <c r="S798" s="139">
        <v>0</v>
      </c>
      <c r="T798" s="322">
        <f t="shared" si="158"/>
        <v>0</v>
      </c>
      <c r="U798" s="140" t="str">
        <f t="shared" si="159"/>
        <v/>
      </c>
      <c r="V798" s="322">
        <f t="shared" si="173"/>
        <v>0</v>
      </c>
      <c r="W798" s="140" t="str">
        <f t="shared" si="160"/>
        <v/>
      </c>
      <c r="X798" s="322">
        <f t="shared" si="161"/>
        <v>0</v>
      </c>
      <c r="Y798" s="140" t="str">
        <f t="shared" si="162"/>
        <v/>
      </c>
      <c r="Z798" s="519">
        <v>0</v>
      </c>
      <c r="AA798" s="111">
        <f t="shared" si="174"/>
        <v>0</v>
      </c>
      <c r="AB798" s="111">
        <f t="shared" si="175"/>
        <v>0</v>
      </c>
    </row>
    <row r="799" spans="1:28" ht="26.25" customHeight="1">
      <c r="A799" s="121" t="s">
        <v>1805</v>
      </c>
      <c r="B799" s="128" t="s">
        <v>1792</v>
      </c>
      <c r="C799" s="106" t="s">
        <v>3186</v>
      </c>
      <c r="D799" s="106" t="s">
        <v>1404</v>
      </c>
      <c r="E799" s="540" t="s">
        <v>1807</v>
      </c>
      <c r="F799" s="540" t="s">
        <v>1806</v>
      </c>
      <c r="G799" s="555" t="s">
        <v>854</v>
      </c>
      <c r="H799" s="555" t="s">
        <v>1798</v>
      </c>
      <c r="I799" s="556" t="s">
        <v>1797</v>
      </c>
      <c r="J799" s="557" t="s">
        <v>1798</v>
      </c>
      <c r="K799" s="558" t="s">
        <v>2648</v>
      </c>
      <c r="L799" s="95"/>
      <c r="M799" s="104"/>
      <c r="N799" s="137">
        <v>0</v>
      </c>
      <c r="O799" s="138">
        <v>0</v>
      </c>
      <c r="P799" s="138">
        <v>0</v>
      </c>
      <c r="Q799" s="138">
        <v>0</v>
      </c>
      <c r="R799" s="138">
        <v>0</v>
      </c>
      <c r="S799" s="139">
        <v>0</v>
      </c>
      <c r="T799" s="322">
        <f t="shared" si="158"/>
        <v>0</v>
      </c>
      <c r="U799" s="140" t="str">
        <f t="shared" si="159"/>
        <v/>
      </c>
      <c r="V799" s="322">
        <f t="shared" si="173"/>
        <v>0</v>
      </c>
      <c r="W799" s="140" t="str">
        <f t="shared" si="160"/>
        <v/>
      </c>
      <c r="X799" s="322">
        <f t="shared" si="161"/>
        <v>0</v>
      </c>
      <c r="Y799" s="140" t="str">
        <f t="shared" si="162"/>
        <v/>
      </c>
      <c r="Z799" s="519">
        <v>0</v>
      </c>
      <c r="AA799" s="111">
        <f t="shared" si="174"/>
        <v>0</v>
      </c>
      <c r="AB799" s="111">
        <f t="shared" si="175"/>
        <v>0</v>
      </c>
    </row>
    <row r="800" spans="1:28" ht="26.25" customHeight="1">
      <c r="A800" s="121" t="s">
        <v>1808</v>
      </c>
      <c r="B800" s="128" t="s">
        <v>1792</v>
      </c>
      <c r="C800" s="106" t="s">
        <v>3186</v>
      </c>
      <c r="D800" s="106" t="s">
        <v>1405</v>
      </c>
      <c r="E800" s="540" t="s">
        <v>1810</v>
      </c>
      <c r="F800" s="540" t="s">
        <v>1809</v>
      </c>
      <c r="G800" s="555" t="s">
        <v>854</v>
      </c>
      <c r="H800" s="555" t="s">
        <v>1798</v>
      </c>
      <c r="I800" s="556" t="s">
        <v>1797</v>
      </c>
      <c r="J800" s="557" t="s">
        <v>1798</v>
      </c>
      <c r="K800" s="558" t="s">
        <v>2648</v>
      </c>
      <c r="L800" s="151"/>
      <c r="M800" s="104"/>
      <c r="N800" s="137">
        <v>0</v>
      </c>
      <c r="O800" s="138">
        <v>0</v>
      </c>
      <c r="P800" s="138">
        <v>0</v>
      </c>
      <c r="Q800" s="138">
        <v>0</v>
      </c>
      <c r="R800" s="138">
        <v>0</v>
      </c>
      <c r="S800" s="139">
        <v>0</v>
      </c>
      <c r="T800" s="322">
        <f t="shared" si="158"/>
        <v>0</v>
      </c>
      <c r="U800" s="140" t="str">
        <f t="shared" si="159"/>
        <v/>
      </c>
      <c r="V800" s="322">
        <f t="shared" si="173"/>
        <v>0</v>
      </c>
      <c r="W800" s="140" t="str">
        <f t="shared" si="160"/>
        <v/>
      </c>
      <c r="X800" s="322">
        <f t="shared" si="161"/>
        <v>0</v>
      </c>
      <c r="Y800" s="140" t="str">
        <f t="shared" si="162"/>
        <v/>
      </c>
      <c r="Z800" s="519">
        <v>0</v>
      </c>
      <c r="AA800" s="111">
        <f t="shared" si="174"/>
        <v>0</v>
      </c>
      <c r="AB800" s="111">
        <f t="shared" si="175"/>
        <v>0</v>
      </c>
    </row>
    <row r="801" spans="1:28" ht="21">
      <c r="A801" s="113" t="s">
        <v>1811</v>
      </c>
      <c r="B801" s="135" t="s">
        <v>1812</v>
      </c>
      <c r="C801" s="136" t="s">
        <v>3184</v>
      </c>
      <c r="D801" s="136" t="s">
        <v>3185</v>
      </c>
      <c r="E801" s="529" t="s">
        <v>1814</v>
      </c>
      <c r="F801" s="529" t="s">
        <v>1813</v>
      </c>
      <c r="G801" s="530"/>
      <c r="H801" s="530"/>
      <c r="I801" s="531"/>
      <c r="J801" s="532"/>
      <c r="K801" s="533"/>
      <c r="L801" s="95"/>
      <c r="M801" s="147"/>
      <c r="N801" s="137">
        <v>0</v>
      </c>
      <c r="O801" s="138">
        <v>0</v>
      </c>
      <c r="P801" s="138">
        <v>0</v>
      </c>
      <c r="Q801" s="138">
        <v>0</v>
      </c>
      <c r="R801" s="138">
        <v>0</v>
      </c>
      <c r="S801" s="139">
        <v>0</v>
      </c>
      <c r="T801" s="322">
        <f t="shared" si="158"/>
        <v>0</v>
      </c>
      <c r="U801" s="140" t="str">
        <f t="shared" si="159"/>
        <v/>
      </c>
      <c r="V801" s="322">
        <f t="shared" si="173"/>
        <v>0</v>
      </c>
      <c r="W801" s="140" t="str">
        <f t="shared" si="160"/>
        <v/>
      </c>
      <c r="X801" s="322">
        <f t="shared" si="161"/>
        <v>0</v>
      </c>
      <c r="Y801" s="140" t="str">
        <f t="shared" si="162"/>
        <v/>
      </c>
      <c r="Z801" s="519">
        <v>0</v>
      </c>
      <c r="AA801" s="111">
        <f t="shared" si="174"/>
        <v>0</v>
      </c>
      <c r="AB801" s="111">
        <f t="shared" si="175"/>
        <v>0</v>
      </c>
    </row>
    <row r="802" spans="1:28" ht="48.75" customHeight="1">
      <c r="A802" s="122" t="s">
        <v>1815</v>
      </c>
      <c r="B802" s="129" t="s">
        <v>1812</v>
      </c>
      <c r="C802" s="107" t="s">
        <v>3186</v>
      </c>
      <c r="D802" s="107" t="s">
        <v>3185</v>
      </c>
      <c r="E802" s="554" t="s">
        <v>4406</v>
      </c>
      <c r="F802" s="580" t="s">
        <v>4407</v>
      </c>
      <c r="G802" s="555"/>
      <c r="H802" s="555"/>
      <c r="I802" s="556"/>
      <c r="J802" s="557"/>
      <c r="K802" s="558"/>
      <c r="L802" s="95"/>
      <c r="M802" s="104"/>
      <c r="N802" s="137">
        <v>0</v>
      </c>
      <c r="O802" s="138">
        <v>0</v>
      </c>
      <c r="P802" s="138">
        <v>0</v>
      </c>
      <c r="Q802" s="138">
        <v>0</v>
      </c>
      <c r="R802" s="138">
        <v>0</v>
      </c>
      <c r="S802" s="139">
        <v>0</v>
      </c>
      <c r="T802" s="322">
        <f t="shared" si="158"/>
        <v>0</v>
      </c>
      <c r="U802" s="140" t="str">
        <f t="shared" si="159"/>
        <v/>
      </c>
      <c r="V802" s="322">
        <f t="shared" si="173"/>
        <v>0</v>
      </c>
      <c r="W802" s="140" t="str">
        <f t="shared" si="160"/>
        <v/>
      </c>
      <c r="X802" s="322">
        <f t="shared" si="161"/>
        <v>0</v>
      </c>
      <c r="Y802" s="140" t="str">
        <f t="shared" si="162"/>
        <v/>
      </c>
      <c r="Z802" s="519">
        <v>0</v>
      </c>
      <c r="AA802" s="111">
        <f t="shared" si="174"/>
        <v>0</v>
      </c>
      <c r="AB802" s="111">
        <f t="shared" si="175"/>
        <v>0</v>
      </c>
    </row>
    <row r="803" spans="1:28" ht="42">
      <c r="A803" s="121" t="s">
        <v>1816</v>
      </c>
      <c r="B803" s="128" t="s">
        <v>1812</v>
      </c>
      <c r="C803" s="106" t="s">
        <v>3186</v>
      </c>
      <c r="D803" s="106" t="s">
        <v>3183</v>
      </c>
      <c r="E803" s="559" t="s">
        <v>4408</v>
      </c>
      <c r="F803" s="579" t="s">
        <v>4407</v>
      </c>
      <c r="G803" s="555" t="s">
        <v>427</v>
      </c>
      <c r="H803" s="555" t="s">
        <v>1817</v>
      </c>
      <c r="I803" s="556" t="s">
        <v>1818</v>
      </c>
      <c r="J803" s="557" t="s">
        <v>1821</v>
      </c>
      <c r="K803" s="558" t="s">
        <v>1818</v>
      </c>
      <c r="L803" s="95"/>
      <c r="M803" s="104"/>
      <c r="N803" s="137">
        <v>51769.03</v>
      </c>
      <c r="O803" s="138">
        <v>72000</v>
      </c>
      <c r="P803" s="138">
        <v>52000</v>
      </c>
      <c r="Q803" s="138">
        <v>52000</v>
      </c>
      <c r="R803" s="138">
        <v>52000</v>
      </c>
      <c r="S803" s="139">
        <v>52000</v>
      </c>
      <c r="T803" s="322">
        <f t="shared" si="158"/>
        <v>230.97000000000116</v>
      </c>
      <c r="U803" s="140">
        <f t="shared" si="159"/>
        <v>4.4615477632090296E-3</v>
      </c>
      <c r="V803" s="322">
        <f t="shared" si="173"/>
        <v>-20000</v>
      </c>
      <c r="W803" s="140">
        <f t="shared" si="160"/>
        <v>-0.27777777777777779</v>
      </c>
      <c r="X803" s="322">
        <f t="shared" si="161"/>
        <v>0</v>
      </c>
      <c r="Y803" s="140">
        <f t="shared" si="162"/>
        <v>0</v>
      </c>
      <c r="Z803" s="519">
        <v>39000</v>
      </c>
      <c r="AA803" s="111">
        <f t="shared" si="174"/>
        <v>52000</v>
      </c>
      <c r="AB803" s="111">
        <f t="shared" si="175"/>
        <v>0</v>
      </c>
    </row>
    <row r="804" spans="1:28" ht="48.75" customHeight="1">
      <c r="A804" s="122" t="s">
        <v>1819</v>
      </c>
      <c r="B804" s="129" t="s">
        <v>1812</v>
      </c>
      <c r="C804" s="107" t="s">
        <v>3187</v>
      </c>
      <c r="D804" s="107" t="s">
        <v>3185</v>
      </c>
      <c r="E804" s="554" t="s">
        <v>4409</v>
      </c>
      <c r="F804" s="534" t="s">
        <v>4410</v>
      </c>
      <c r="G804" s="555"/>
      <c r="H804" s="555"/>
      <c r="I804" s="556"/>
      <c r="J804" s="557"/>
      <c r="K804" s="558"/>
      <c r="L804" s="95"/>
      <c r="M804" s="104"/>
      <c r="N804" s="137">
        <v>0</v>
      </c>
      <c r="O804" s="138">
        <v>0</v>
      </c>
      <c r="P804" s="138">
        <v>0</v>
      </c>
      <c r="Q804" s="138">
        <v>0</v>
      </c>
      <c r="R804" s="138">
        <v>0</v>
      </c>
      <c r="S804" s="139">
        <v>0</v>
      </c>
      <c r="T804" s="322">
        <f t="shared" si="158"/>
        <v>0</v>
      </c>
      <c r="U804" s="140" t="str">
        <f t="shared" si="159"/>
        <v/>
      </c>
      <c r="V804" s="322">
        <f t="shared" si="173"/>
        <v>0</v>
      </c>
      <c r="W804" s="140" t="str">
        <f t="shared" si="160"/>
        <v/>
      </c>
      <c r="X804" s="322">
        <f t="shared" si="161"/>
        <v>0</v>
      </c>
      <c r="Y804" s="140" t="str">
        <f t="shared" si="162"/>
        <v/>
      </c>
      <c r="Z804" s="519">
        <v>0</v>
      </c>
      <c r="AA804" s="111">
        <f t="shared" si="174"/>
        <v>0</v>
      </c>
      <c r="AB804" s="111">
        <f t="shared" si="175"/>
        <v>0</v>
      </c>
    </row>
    <row r="805" spans="1:28" ht="48.75" customHeight="1">
      <c r="A805" s="121" t="s">
        <v>1820</v>
      </c>
      <c r="B805" s="128" t="s">
        <v>1812</v>
      </c>
      <c r="C805" s="106" t="s">
        <v>3187</v>
      </c>
      <c r="D805" s="106" t="s">
        <v>3183</v>
      </c>
      <c r="E805" s="559" t="s">
        <v>4409</v>
      </c>
      <c r="F805" s="540" t="s">
        <v>4410</v>
      </c>
      <c r="G805" s="555" t="s">
        <v>427</v>
      </c>
      <c r="H805" s="555" t="s">
        <v>1817</v>
      </c>
      <c r="I805" s="556" t="s">
        <v>1818</v>
      </c>
      <c r="J805" s="557" t="s">
        <v>1821</v>
      </c>
      <c r="K805" s="558" t="s">
        <v>1818</v>
      </c>
      <c r="L805" s="95"/>
      <c r="M805" s="104"/>
      <c r="N805" s="137">
        <v>0</v>
      </c>
      <c r="O805" s="138">
        <v>0</v>
      </c>
      <c r="P805" s="138">
        <v>0</v>
      </c>
      <c r="Q805" s="138">
        <v>0</v>
      </c>
      <c r="R805" s="138">
        <v>0</v>
      </c>
      <c r="S805" s="139">
        <v>0</v>
      </c>
      <c r="T805" s="322">
        <f t="shared" si="158"/>
        <v>0</v>
      </c>
      <c r="U805" s="140" t="str">
        <f t="shared" si="159"/>
        <v/>
      </c>
      <c r="V805" s="322">
        <f t="shared" si="173"/>
        <v>0</v>
      </c>
      <c r="W805" s="140" t="str">
        <f t="shared" si="160"/>
        <v/>
      </c>
      <c r="X805" s="322">
        <f t="shared" si="161"/>
        <v>0</v>
      </c>
      <c r="Y805" s="140" t="str">
        <f t="shared" si="162"/>
        <v/>
      </c>
      <c r="Z805" s="519">
        <v>0</v>
      </c>
      <c r="AA805" s="111">
        <f t="shared" si="174"/>
        <v>0</v>
      </c>
      <c r="AB805" s="111">
        <f t="shared" si="175"/>
        <v>0</v>
      </c>
    </row>
    <row r="806" spans="1:28" ht="15" customHeight="1">
      <c r="A806" s="113" t="s">
        <v>1822</v>
      </c>
      <c r="B806" s="135" t="s">
        <v>1823</v>
      </c>
      <c r="C806" s="136" t="s">
        <v>3184</v>
      </c>
      <c r="D806" s="136" t="s">
        <v>3185</v>
      </c>
      <c r="E806" s="529" t="s">
        <v>1825</v>
      </c>
      <c r="F806" s="529" t="s">
        <v>1824</v>
      </c>
      <c r="G806" s="530"/>
      <c r="H806" s="530"/>
      <c r="I806" s="531"/>
      <c r="J806" s="532"/>
      <c r="K806" s="533"/>
      <c r="L806" s="95"/>
      <c r="M806" s="147"/>
      <c r="N806" s="137">
        <v>0</v>
      </c>
      <c r="O806" s="138">
        <v>0</v>
      </c>
      <c r="P806" s="138">
        <v>0</v>
      </c>
      <c r="Q806" s="138">
        <v>0</v>
      </c>
      <c r="R806" s="138">
        <v>0</v>
      </c>
      <c r="S806" s="139">
        <v>0</v>
      </c>
      <c r="T806" s="322">
        <f t="shared" si="158"/>
        <v>0</v>
      </c>
      <c r="U806" s="140" t="str">
        <f t="shared" si="159"/>
        <v/>
      </c>
      <c r="V806" s="322">
        <f t="shared" si="173"/>
        <v>0</v>
      </c>
      <c r="W806" s="140" t="str">
        <f t="shared" si="160"/>
        <v/>
      </c>
      <c r="X806" s="322">
        <f t="shared" si="161"/>
        <v>0</v>
      </c>
      <c r="Y806" s="140" t="str">
        <f t="shared" si="162"/>
        <v/>
      </c>
      <c r="Z806" s="519">
        <v>0</v>
      </c>
      <c r="AA806" s="111">
        <f t="shared" si="174"/>
        <v>0</v>
      </c>
      <c r="AB806" s="111">
        <f t="shared" si="175"/>
        <v>0</v>
      </c>
    </row>
    <row r="807" spans="1:28" ht="15" customHeight="1">
      <c r="A807" s="122" t="s">
        <v>1826</v>
      </c>
      <c r="B807" s="129" t="s">
        <v>1823</v>
      </c>
      <c r="C807" s="107" t="s">
        <v>3186</v>
      </c>
      <c r="D807" s="107" t="s">
        <v>3185</v>
      </c>
      <c r="E807" s="554" t="s">
        <v>1827</v>
      </c>
      <c r="F807" s="534" t="s">
        <v>1827</v>
      </c>
      <c r="G807" s="555"/>
      <c r="H807" s="555"/>
      <c r="I807" s="556"/>
      <c r="J807" s="557"/>
      <c r="K807" s="558"/>
      <c r="L807" s="95"/>
      <c r="M807" s="104"/>
      <c r="N807" s="137">
        <v>0</v>
      </c>
      <c r="O807" s="138">
        <v>0</v>
      </c>
      <c r="P807" s="138">
        <v>0</v>
      </c>
      <c r="Q807" s="138">
        <v>0</v>
      </c>
      <c r="R807" s="138">
        <v>0</v>
      </c>
      <c r="S807" s="139">
        <v>0</v>
      </c>
      <c r="T807" s="322">
        <f t="shared" si="158"/>
        <v>0</v>
      </c>
      <c r="U807" s="140" t="str">
        <f t="shared" si="159"/>
        <v/>
      </c>
      <c r="V807" s="322">
        <f t="shared" si="173"/>
        <v>0</v>
      </c>
      <c r="W807" s="140" t="str">
        <f t="shared" si="160"/>
        <v/>
      </c>
      <c r="X807" s="322">
        <f t="shared" si="161"/>
        <v>0</v>
      </c>
      <c r="Y807" s="140" t="str">
        <f t="shared" si="162"/>
        <v/>
      </c>
      <c r="Z807" s="519">
        <v>0</v>
      </c>
      <c r="AA807" s="111">
        <f t="shared" si="174"/>
        <v>0</v>
      </c>
      <c r="AB807" s="111">
        <f t="shared" si="175"/>
        <v>0</v>
      </c>
    </row>
    <row r="808" spans="1:28" ht="15" customHeight="1">
      <c r="A808" s="121" t="s">
        <v>1828</v>
      </c>
      <c r="B808" s="128" t="s">
        <v>1823</v>
      </c>
      <c r="C808" s="106" t="s">
        <v>3186</v>
      </c>
      <c r="D808" s="106" t="s">
        <v>3183</v>
      </c>
      <c r="E808" s="559" t="s">
        <v>1830</v>
      </c>
      <c r="F808" s="540" t="s">
        <v>1829</v>
      </c>
      <c r="G808" s="555" t="s">
        <v>1151</v>
      </c>
      <c r="H808" s="555" t="s">
        <v>1831</v>
      </c>
      <c r="I808" s="556" t="s">
        <v>1832</v>
      </c>
      <c r="J808" s="557" t="s">
        <v>2928</v>
      </c>
      <c r="K808" s="558" t="s">
        <v>2649</v>
      </c>
      <c r="L808" s="95"/>
      <c r="M808" s="104"/>
      <c r="N808" s="137">
        <v>0</v>
      </c>
      <c r="O808" s="138">
        <v>0</v>
      </c>
      <c r="P808" s="138">
        <v>0</v>
      </c>
      <c r="Q808" s="138">
        <v>0</v>
      </c>
      <c r="R808" s="138">
        <v>0</v>
      </c>
      <c r="S808" s="139">
        <v>0</v>
      </c>
      <c r="T808" s="322">
        <f t="shared" si="158"/>
        <v>0</v>
      </c>
      <c r="U808" s="140" t="str">
        <f t="shared" si="159"/>
        <v/>
      </c>
      <c r="V808" s="322">
        <f t="shared" si="173"/>
        <v>0</v>
      </c>
      <c r="W808" s="140" t="str">
        <f t="shared" si="160"/>
        <v/>
      </c>
      <c r="X808" s="322">
        <f t="shared" si="161"/>
        <v>0</v>
      </c>
      <c r="Y808" s="140" t="str">
        <f t="shared" si="162"/>
        <v/>
      </c>
      <c r="Z808" s="519">
        <v>0</v>
      </c>
      <c r="AA808" s="111">
        <f t="shared" si="174"/>
        <v>0</v>
      </c>
      <c r="AB808" s="111">
        <f t="shared" si="175"/>
        <v>0</v>
      </c>
    </row>
    <row r="809" spans="1:28" ht="15" customHeight="1">
      <c r="A809" s="121" t="s">
        <v>1834</v>
      </c>
      <c r="B809" s="128" t="s">
        <v>1823</v>
      </c>
      <c r="C809" s="106" t="s">
        <v>3186</v>
      </c>
      <c r="D809" s="106" t="s">
        <v>3193</v>
      </c>
      <c r="E809" s="559" t="s">
        <v>1836</v>
      </c>
      <c r="F809" s="540" t="s">
        <v>1835</v>
      </c>
      <c r="G809" s="555" t="s">
        <v>1153</v>
      </c>
      <c r="H809" s="555" t="s">
        <v>1837</v>
      </c>
      <c r="I809" s="556" t="s">
        <v>1838</v>
      </c>
      <c r="J809" s="557" t="s">
        <v>2928</v>
      </c>
      <c r="K809" s="558" t="s">
        <v>2650</v>
      </c>
      <c r="L809" s="95"/>
      <c r="M809" s="104"/>
      <c r="N809" s="137">
        <v>0</v>
      </c>
      <c r="O809" s="138">
        <v>0</v>
      </c>
      <c r="P809" s="138">
        <v>0</v>
      </c>
      <c r="Q809" s="138">
        <v>0</v>
      </c>
      <c r="R809" s="138">
        <v>0</v>
      </c>
      <c r="S809" s="139">
        <v>0</v>
      </c>
      <c r="T809" s="322">
        <f t="shared" si="158"/>
        <v>0</v>
      </c>
      <c r="U809" s="140" t="str">
        <f t="shared" si="159"/>
        <v/>
      </c>
      <c r="V809" s="322">
        <f t="shared" si="173"/>
        <v>0</v>
      </c>
      <c r="W809" s="140" t="str">
        <f t="shared" si="160"/>
        <v/>
      </c>
      <c r="X809" s="322">
        <f t="shared" si="161"/>
        <v>0</v>
      </c>
      <c r="Y809" s="140" t="str">
        <f t="shared" si="162"/>
        <v/>
      </c>
      <c r="Z809" s="519">
        <v>0</v>
      </c>
      <c r="AA809" s="111">
        <f t="shared" si="174"/>
        <v>0</v>
      </c>
      <c r="AB809" s="111">
        <f t="shared" si="175"/>
        <v>0</v>
      </c>
    </row>
    <row r="810" spans="1:28" ht="15" customHeight="1">
      <c r="A810" s="122" t="s">
        <v>1839</v>
      </c>
      <c r="B810" s="129" t="s">
        <v>1823</v>
      </c>
      <c r="C810" s="107" t="s">
        <v>3187</v>
      </c>
      <c r="D810" s="107" t="s">
        <v>3185</v>
      </c>
      <c r="E810" s="554" t="s">
        <v>1841</v>
      </c>
      <c r="F810" s="554" t="s">
        <v>1840</v>
      </c>
      <c r="G810" s="555"/>
      <c r="H810" s="555"/>
      <c r="I810" s="556"/>
      <c r="J810" s="557"/>
      <c r="K810" s="558"/>
      <c r="L810" s="95"/>
      <c r="M810" s="104"/>
      <c r="N810" s="137">
        <v>0</v>
      </c>
      <c r="O810" s="138">
        <v>0</v>
      </c>
      <c r="P810" s="138">
        <v>0</v>
      </c>
      <c r="Q810" s="138">
        <v>0</v>
      </c>
      <c r="R810" s="138">
        <v>0</v>
      </c>
      <c r="S810" s="139">
        <v>0</v>
      </c>
      <c r="T810" s="322">
        <f t="shared" si="158"/>
        <v>0</v>
      </c>
      <c r="U810" s="140" t="str">
        <f t="shared" si="159"/>
        <v/>
      </c>
      <c r="V810" s="322">
        <f t="shared" si="173"/>
        <v>0</v>
      </c>
      <c r="W810" s="140" t="str">
        <f t="shared" si="160"/>
        <v/>
      </c>
      <c r="X810" s="322">
        <f t="shared" si="161"/>
        <v>0</v>
      </c>
      <c r="Y810" s="140" t="str">
        <f t="shared" si="162"/>
        <v/>
      </c>
      <c r="Z810" s="519">
        <v>0</v>
      </c>
      <c r="AA810" s="111">
        <f t="shared" si="174"/>
        <v>0</v>
      </c>
      <c r="AB810" s="111">
        <f t="shared" si="175"/>
        <v>0</v>
      </c>
    </row>
    <row r="811" spans="1:28" ht="15" customHeight="1">
      <c r="A811" s="121" t="s">
        <v>1842</v>
      </c>
      <c r="B811" s="128" t="s">
        <v>1823</v>
      </c>
      <c r="C811" s="106" t="s">
        <v>3187</v>
      </c>
      <c r="D811" s="106" t="s">
        <v>3183</v>
      </c>
      <c r="E811" s="559" t="s">
        <v>2519</v>
      </c>
      <c r="F811" s="540" t="s">
        <v>2518</v>
      </c>
      <c r="G811" s="555" t="s">
        <v>1141</v>
      </c>
      <c r="H811" s="555" t="s">
        <v>2520</v>
      </c>
      <c r="I811" s="556" t="s">
        <v>2521</v>
      </c>
      <c r="J811" s="557" t="s">
        <v>2924</v>
      </c>
      <c r="K811" s="558" t="s">
        <v>2521</v>
      </c>
      <c r="L811" s="95"/>
      <c r="M811" s="104"/>
      <c r="N811" s="137">
        <v>37596056.25</v>
      </c>
      <c r="O811" s="138">
        <v>36994000</v>
      </c>
      <c r="P811" s="138">
        <v>38500000</v>
      </c>
      <c r="Q811" s="138">
        <v>38615000</v>
      </c>
      <c r="R811" s="138">
        <v>38748000</v>
      </c>
      <c r="S811" s="139">
        <v>38863000</v>
      </c>
      <c r="T811" s="322">
        <f t="shared" si="158"/>
        <v>1018943.75</v>
      </c>
      <c r="U811" s="140">
        <f t="shared" si="159"/>
        <v>2.7102410508815004E-2</v>
      </c>
      <c r="V811" s="322">
        <f t="shared" si="173"/>
        <v>1621000</v>
      </c>
      <c r="W811" s="140">
        <f t="shared" si="160"/>
        <v>4.3817916418878736E-2</v>
      </c>
      <c r="X811" s="322">
        <f t="shared" si="161"/>
        <v>115000</v>
      </c>
      <c r="Y811" s="140">
        <f t="shared" si="162"/>
        <v>2.9870129870129872E-3</v>
      </c>
      <c r="Z811" s="519">
        <v>28874775.289999999</v>
      </c>
      <c r="AA811" s="111">
        <f t="shared" si="174"/>
        <v>38499700.386666663</v>
      </c>
      <c r="AB811" s="111">
        <f t="shared" si="175"/>
        <v>299.61333333700895</v>
      </c>
    </row>
    <row r="812" spans="1:28" ht="26.25" customHeight="1">
      <c r="A812" s="121" t="s">
        <v>4021</v>
      </c>
      <c r="B812" s="128" t="s">
        <v>1823</v>
      </c>
      <c r="C812" s="106" t="s">
        <v>3187</v>
      </c>
      <c r="D812" s="106" t="s">
        <v>1378</v>
      </c>
      <c r="E812" s="559" t="s">
        <v>4364</v>
      </c>
      <c r="F812" s="540" t="s">
        <v>4022</v>
      </c>
      <c r="G812" s="555" t="s">
        <v>1141</v>
      </c>
      <c r="H812" s="555" t="s">
        <v>2520</v>
      </c>
      <c r="I812" s="556" t="s">
        <v>2521</v>
      </c>
      <c r="J812" s="557" t="s">
        <v>2924</v>
      </c>
      <c r="K812" s="558" t="s">
        <v>2521</v>
      </c>
      <c r="L812" s="95"/>
      <c r="M812" s="104"/>
      <c r="N812" s="137">
        <v>0</v>
      </c>
      <c r="O812" s="138">
        <v>0</v>
      </c>
      <c r="P812" s="138">
        <v>0</v>
      </c>
      <c r="Q812" s="138">
        <v>0</v>
      </c>
      <c r="R812" s="138">
        <v>0</v>
      </c>
      <c r="S812" s="139">
        <v>0</v>
      </c>
      <c r="T812" s="322">
        <f t="shared" si="158"/>
        <v>0</v>
      </c>
      <c r="U812" s="140" t="str">
        <f t="shared" si="159"/>
        <v/>
      </c>
      <c r="V812" s="322">
        <f t="shared" si="173"/>
        <v>0</v>
      </c>
      <c r="W812" s="140" t="str">
        <f t="shared" si="160"/>
        <v/>
      </c>
      <c r="X812" s="322">
        <f t="shared" si="161"/>
        <v>0</v>
      </c>
      <c r="Y812" s="140" t="str">
        <f t="shared" si="162"/>
        <v/>
      </c>
      <c r="Z812" s="519">
        <v>0</v>
      </c>
      <c r="AA812" s="111">
        <f t="shared" si="174"/>
        <v>0</v>
      </c>
      <c r="AB812" s="111">
        <f t="shared" si="175"/>
        <v>0</v>
      </c>
    </row>
    <row r="813" spans="1:28" ht="26.25" customHeight="1">
      <c r="A813" s="121" t="s">
        <v>4338</v>
      </c>
      <c r="B813" s="128" t="s">
        <v>1823</v>
      </c>
      <c r="C813" s="106" t="s">
        <v>3187</v>
      </c>
      <c r="D813" s="106" t="s">
        <v>2467</v>
      </c>
      <c r="E813" s="559" t="s">
        <v>4365</v>
      </c>
      <c r="F813" s="540" t="s">
        <v>4339</v>
      </c>
      <c r="G813" s="555" t="s">
        <v>1141</v>
      </c>
      <c r="H813" s="555" t="s">
        <v>2520</v>
      </c>
      <c r="I813" s="556" t="s">
        <v>2521</v>
      </c>
      <c r="J813" s="557" t="s">
        <v>2924</v>
      </c>
      <c r="K813" s="558" t="s">
        <v>2521</v>
      </c>
      <c r="L813" s="95"/>
      <c r="M813" s="104"/>
      <c r="N813" s="137">
        <v>1582317.03</v>
      </c>
      <c r="O813" s="138">
        <v>1500000</v>
      </c>
      <c r="P813" s="138">
        <v>1500000</v>
      </c>
      <c r="Q813" s="138">
        <v>1500000</v>
      </c>
      <c r="R813" s="138">
        <v>1500000</v>
      </c>
      <c r="S813" s="139">
        <v>1500000</v>
      </c>
      <c r="T813" s="322">
        <f t="shared" si="158"/>
        <v>-82317.030000000028</v>
      </c>
      <c r="U813" s="140">
        <f t="shared" si="159"/>
        <v>-5.2023095523404707E-2</v>
      </c>
      <c r="V813" s="322">
        <f t="shared" si="173"/>
        <v>0</v>
      </c>
      <c r="W813" s="140">
        <f t="shared" si="160"/>
        <v>0</v>
      </c>
      <c r="X813" s="322">
        <f t="shared" si="161"/>
        <v>0</v>
      </c>
      <c r="Y813" s="140">
        <f t="shared" si="162"/>
        <v>0</v>
      </c>
      <c r="Z813" s="519">
        <v>1125000</v>
      </c>
      <c r="AA813" s="111">
        <f t="shared" si="174"/>
        <v>1500000</v>
      </c>
      <c r="AB813" s="111">
        <f t="shared" si="175"/>
        <v>0</v>
      </c>
    </row>
    <row r="814" spans="1:28" ht="44.25" customHeight="1">
      <c r="A814" s="121" t="s">
        <v>2523</v>
      </c>
      <c r="B814" s="128" t="s">
        <v>1823</v>
      </c>
      <c r="C814" s="106" t="s">
        <v>3187</v>
      </c>
      <c r="D814" s="106" t="s">
        <v>3193</v>
      </c>
      <c r="E814" s="540" t="s">
        <v>2651</v>
      </c>
      <c r="F814" s="540" t="s">
        <v>2652</v>
      </c>
      <c r="G814" s="555" t="s">
        <v>1143</v>
      </c>
      <c r="H814" s="555" t="s">
        <v>2653</v>
      </c>
      <c r="I814" s="556" t="s">
        <v>2524</v>
      </c>
      <c r="J814" s="557" t="s">
        <v>2925</v>
      </c>
      <c r="K814" s="558" t="s">
        <v>2524</v>
      </c>
      <c r="L814" s="95"/>
      <c r="M814" s="104"/>
      <c r="N814" s="137">
        <v>193752.25</v>
      </c>
      <c r="O814" s="138">
        <v>185000</v>
      </c>
      <c r="P814" s="138">
        <v>202000</v>
      </c>
      <c r="Q814" s="138">
        <v>202000</v>
      </c>
      <c r="R814" s="138">
        <v>202000</v>
      </c>
      <c r="S814" s="139">
        <v>202000</v>
      </c>
      <c r="T814" s="322">
        <f t="shared" ref="T814:T890" si="181">IF(N814="","",Q814-N814)</f>
        <v>8247.75</v>
      </c>
      <c r="U814" s="140">
        <f t="shared" ref="U814:U890" si="182">IF(N814=0,"",T814/N814)</f>
        <v>4.2568537913753257E-2</v>
      </c>
      <c r="V814" s="322">
        <f t="shared" si="173"/>
        <v>17000</v>
      </c>
      <c r="W814" s="140">
        <f t="shared" ref="W814:W890" si="183">IF(O814=0,"",V814/O814)</f>
        <v>9.1891891891891897E-2</v>
      </c>
      <c r="X814" s="322">
        <f t="shared" ref="X814:X890" si="184">IF(P814="","",Q814-P814)</f>
        <v>0</v>
      </c>
      <c r="Y814" s="140">
        <f t="shared" ref="Y814:Y890" si="185">IF(P814=0,"",X814/P814)</f>
        <v>0</v>
      </c>
      <c r="Z814" s="519">
        <v>151100.72</v>
      </c>
      <c r="AA814" s="111">
        <f t="shared" si="174"/>
        <v>201467.62666666668</v>
      </c>
      <c r="AB814" s="111">
        <f t="shared" si="175"/>
        <v>532.37333333332208</v>
      </c>
    </row>
    <row r="815" spans="1:28" ht="24.75" customHeight="1">
      <c r="A815" s="121" t="s">
        <v>2525</v>
      </c>
      <c r="B815" s="128" t="s">
        <v>1823</v>
      </c>
      <c r="C815" s="106" t="s">
        <v>3187</v>
      </c>
      <c r="D815" s="106" t="s">
        <v>2631</v>
      </c>
      <c r="E815" s="540" t="s">
        <v>2527</v>
      </c>
      <c r="F815" s="540" t="s">
        <v>2526</v>
      </c>
      <c r="G815" s="555" t="s">
        <v>1147</v>
      </c>
      <c r="H815" s="555" t="s">
        <v>2654</v>
      </c>
      <c r="I815" s="556" t="s">
        <v>2655</v>
      </c>
      <c r="J815" s="557" t="s">
        <v>2927</v>
      </c>
      <c r="K815" s="558" t="s">
        <v>2528</v>
      </c>
      <c r="L815" s="95"/>
      <c r="M815" s="104"/>
      <c r="N815" s="137">
        <v>0</v>
      </c>
      <c r="O815" s="138">
        <v>0</v>
      </c>
      <c r="P815" s="138">
        <v>0</v>
      </c>
      <c r="Q815" s="138">
        <v>0</v>
      </c>
      <c r="R815" s="138">
        <v>0</v>
      </c>
      <c r="S815" s="139">
        <v>0</v>
      </c>
      <c r="T815" s="322">
        <f t="shared" si="181"/>
        <v>0</v>
      </c>
      <c r="U815" s="140" t="str">
        <f t="shared" si="182"/>
        <v/>
      </c>
      <c r="V815" s="322">
        <f t="shared" si="173"/>
        <v>0</v>
      </c>
      <c r="W815" s="140" t="str">
        <f t="shared" si="183"/>
        <v/>
      </c>
      <c r="X815" s="322">
        <f t="shared" si="184"/>
        <v>0</v>
      </c>
      <c r="Y815" s="140" t="str">
        <f t="shared" si="185"/>
        <v/>
      </c>
      <c r="Z815" s="519">
        <v>0</v>
      </c>
      <c r="AA815" s="111">
        <f t="shared" si="174"/>
        <v>0</v>
      </c>
      <c r="AB815" s="111">
        <f t="shared" si="175"/>
        <v>0</v>
      </c>
    </row>
    <row r="816" spans="1:28" ht="24.75" customHeight="1">
      <c r="A816" s="121" t="s">
        <v>2529</v>
      </c>
      <c r="B816" s="128" t="s">
        <v>1823</v>
      </c>
      <c r="C816" s="106" t="s">
        <v>3187</v>
      </c>
      <c r="D816" s="106" t="s">
        <v>1404</v>
      </c>
      <c r="E816" s="540" t="s">
        <v>2656</v>
      </c>
      <c r="F816" s="540" t="s">
        <v>2657</v>
      </c>
      <c r="G816" s="555" t="s">
        <v>1145</v>
      </c>
      <c r="H816" s="555" t="s">
        <v>2658</v>
      </c>
      <c r="I816" s="556" t="s">
        <v>1864</v>
      </c>
      <c r="J816" s="557" t="s">
        <v>2926</v>
      </c>
      <c r="K816" s="558" t="s">
        <v>1864</v>
      </c>
      <c r="L816" s="95"/>
      <c r="M816" s="104"/>
      <c r="N816" s="137">
        <v>150789.24</v>
      </c>
      <c r="O816" s="138">
        <v>152000</v>
      </c>
      <c r="P816" s="138">
        <v>152000</v>
      </c>
      <c r="Q816" s="138">
        <v>152000</v>
      </c>
      <c r="R816" s="138">
        <v>152000</v>
      </c>
      <c r="S816" s="139">
        <v>152000</v>
      </c>
      <c r="T816" s="322">
        <f t="shared" si="181"/>
        <v>1210.7600000000093</v>
      </c>
      <c r="U816" s="140">
        <f t="shared" si="182"/>
        <v>8.029485392989642E-3</v>
      </c>
      <c r="V816" s="322">
        <f t="shared" si="173"/>
        <v>0</v>
      </c>
      <c r="W816" s="140">
        <f t="shared" si="183"/>
        <v>0</v>
      </c>
      <c r="X816" s="322">
        <f t="shared" si="184"/>
        <v>0</v>
      </c>
      <c r="Y816" s="140">
        <f t="shared" si="185"/>
        <v>0</v>
      </c>
      <c r="Z816" s="519">
        <v>114070.07</v>
      </c>
      <c r="AA816" s="111">
        <f t="shared" si="174"/>
        <v>152093.42666666667</v>
      </c>
      <c r="AB816" s="111">
        <f t="shared" si="175"/>
        <v>-93.426666666666279</v>
      </c>
    </row>
    <row r="817" spans="1:28" ht="15" customHeight="1">
      <c r="A817" s="122" t="s">
        <v>1865</v>
      </c>
      <c r="B817" s="129" t="s">
        <v>1823</v>
      </c>
      <c r="C817" s="107" t="s">
        <v>3422</v>
      </c>
      <c r="D817" s="107" t="s">
        <v>3185</v>
      </c>
      <c r="E817" s="554" t="s">
        <v>1867</v>
      </c>
      <c r="F817" s="534" t="s">
        <v>1866</v>
      </c>
      <c r="G817" s="555"/>
      <c r="H817" s="555"/>
      <c r="I817" s="556"/>
      <c r="J817" s="557"/>
      <c r="K817" s="558"/>
      <c r="L817" s="95"/>
      <c r="M817" s="104"/>
      <c r="N817" s="137">
        <v>0</v>
      </c>
      <c r="O817" s="138">
        <v>0</v>
      </c>
      <c r="P817" s="138">
        <v>0</v>
      </c>
      <c r="Q817" s="138">
        <v>0</v>
      </c>
      <c r="R817" s="138">
        <v>0</v>
      </c>
      <c r="S817" s="139">
        <v>0</v>
      </c>
      <c r="T817" s="322">
        <f t="shared" si="181"/>
        <v>0</v>
      </c>
      <c r="U817" s="140" t="str">
        <f t="shared" si="182"/>
        <v/>
      </c>
      <c r="V817" s="322">
        <f t="shared" si="173"/>
        <v>0</v>
      </c>
      <c r="W817" s="140" t="str">
        <f t="shared" si="183"/>
        <v/>
      </c>
      <c r="X817" s="322">
        <f t="shared" si="184"/>
        <v>0</v>
      </c>
      <c r="Y817" s="140" t="str">
        <f t="shared" si="185"/>
        <v/>
      </c>
      <c r="Z817" s="519">
        <v>0</v>
      </c>
      <c r="AA817" s="111">
        <f t="shared" si="174"/>
        <v>0</v>
      </c>
      <c r="AB817" s="111">
        <f t="shared" si="175"/>
        <v>0</v>
      </c>
    </row>
    <row r="818" spans="1:28" ht="15" customHeight="1">
      <c r="A818" s="121" t="s">
        <v>1868</v>
      </c>
      <c r="B818" s="128" t="s">
        <v>1823</v>
      </c>
      <c r="C818" s="106" t="s">
        <v>3422</v>
      </c>
      <c r="D818" s="106" t="s">
        <v>3183</v>
      </c>
      <c r="E818" s="559" t="s">
        <v>1867</v>
      </c>
      <c r="F818" s="540" t="s">
        <v>1866</v>
      </c>
      <c r="G818" s="555" t="s">
        <v>1153</v>
      </c>
      <c r="H818" s="555" t="s">
        <v>1837</v>
      </c>
      <c r="I818" s="556" t="s">
        <v>1838</v>
      </c>
      <c r="J818" s="557" t="s">
        <v>2928</v>
      </c>
      <c r="K818" s="558" t="s">
        <v>2650</v>
      </c>
      <c r="L818" s="95"/>
      <c r="M818" s="104"/>
      <c r="N818" s="137">
        <v>0</v>
      </c>
      <c r="O818" s="138">
        <v>0</v>
      </c>
      <c r="P818" s="138">
        <v>0</v>
      </c>
      <c r="Q818" s="138">
        <v>0</v>
      </c>
      <c r="R818" s="138">
        <v>0</v>
      </c>
      <c r="S818" s="139">
        <v>0</v>
      </c>
      <c r="T818" s="322">
        <f t="shared" si="181"/>
        <v>0</v>
      </c>
      <c r="U818" s="140" t="str">
        <f t="shared" si="182"/>
        <v/>
      </c>
      <c r="V818" s="322">
        <f t="shared" si="173"/>
        <v>0</v>
      </c>
      <c r="W818" s="140" t="str">
        <f t="shared" si="183"/>
        <v/>
      </c>
      <c r="X818" s="322">
        <f t="shared" si="184"/>
        <v>0</v>
      </c>
      <c r="Y818" s="140" t="str">
        <f t="shared" si="185"/>
        <v/>
      </c>
      <c r="Z818" s="519">
        <v>0</v>
      </c>
      <c r="AA818" s="111">
        <f t="shared" si="174"/>
        <v>0</v>
      </c>
      <c r="AB818" s="111">
        <f t="shared" si="175"/>
        <v>0</v>
      </c>
    </row>
    <row r="819" spans="1:28" ht="15" customHeight="1">
      <c r="A819" s="122" t="s">
        <v>1869</v>
      </c>
      <c r="B819" s="129" t="s">
        <v>1823</v>
      </c>
      <c r="C819" s="107" t="s">
        <v>2270</v>
      </c>
      <c r="D819" s="107" t="s">
        <v>3185</v>
      </c>
      <c r="E819" s="554" t="s">
        <v>1871</v>
      </c>
      <c r="F819" s="554" t="s">
        <v>1870</v>
      </c>
      <c r="G819" s="555"/>
      <c r="H819" s="555"/>
      <c r="I819" s="556"/>
      <c r="J819" s="557"/>
      <c r="K819" s="558"/>
      <c r="L819" s="95"/>
      <c r="M819" s="104"/>
      <c r="N819" s="137">
        <v>0</v>
      </c>
      <c r="O819" s="138">
        <v>0</v>
      </c>
      <c r="P819" s="138">
        <v>0</v>
      </c>
      <c r="Q819" s="138">
        <v>0</v>
      </c>
      <c r="R819" s="138">
        <v>0</v>
      </c>
      <c r="S819" s="139">
        <v>0</v>
      </c>
      <c r="T819" s="322">
        <f t="shared" si="181"/>
        <v>0</v>
      </c>
      <c r="U819" s="140" t="str">
        <f t="shared" si="182"/>
        <v/>
      </c>
      <c r="V819" s="322">
        <f t="shared" si="173"/>
        <v>0</v>
      </c>
      <c r="W819" s="140" t="str">
        <f t="shared" si="183"/>
        <v/>
      </c>
      <c r="X819" s="322">
        <f t="shared" si="184"/>
        <v>0</v>
      </c>
      <c r="Y819" s="140" t="str">
        <f t="shared" si="185"/>
        <v/>
      </c>
      <c r="Z819" s="519">
        <v>0</v>
      </c>
      <c r="AA819" s="111">
        <f t="shared" si="174"/>
        <v>0</v>
      </c>
      <c r="AB819" s="111">
        <f t="shared" si="175"/>
        <v>0</v>
      </c>
    </row>
    <row r="820" spans="1:28" ht="24.75" customHeight="1">
      <c r="A820" s="121" t="s">
        <v>4340</v>
      </c>
      <c r="B820" s="128" t="s">
        <v>1823</v>
      </c>
      <c r="C820" s="106" t="s">
        <v>2270</v>
      </c>
      <c r="D820" s="106" t="s">
        <v>3099</v>
      </c>
      <c r="E820" s="559" t="s">
        <v>4341</v>
      </c>
      <c r="F820" s="579" t="s">
        <v>4342</v>
      </c>
      <c r="G820" s="555" t="s">
        <v>1155</v>
      </c>
      <c r="H820" s="555" t="s">
        <v>1072</v>
      </c>
      <c r="I820" s="556" t="s">
        <v>2929</v>
      </c>
      <c r="J820" s="557" t="s">
        <v>1072</v>
      </c>
      <c r="K820" s="558" t="s">
        <v>2929</v>
      </c>
      <c r="L820" s="95"/>
      <c r="M820" s="104"/>
      <c r="N820" s="137">
        <v>0</v>
      </c>
      <c r="O820" s="138">
        <v>0</v>
      </c>
      <c r="P820" s="138">
        <v>0</v>
      </c>
      <c r="Q820" s="138">
        <v>0</v>
      </c>
      <c r="R820" s="138">
        <v>0</v>
      </c>
      <c r="S820" s="139">
        <v>0</v>
      </c>
      <c r="T820" s="322">
        <f t="shared" si="181"/>
        <v>0</v>
      </c>
      <c r="U820" s="140" t="str">
        <f t="shared" si="182"/>
        <v/>
      </c>
      <c r="V820" s="322">
        <f t="shared" si="173"/>
        <v>0</v>
      </c>
      <c r="W820" s="140" t="str">
        <f t="shared" si="183"/>
        <v/>
      </c>
      <c r="X820" s="322">
        <f t="shared" si="184"/>
        <v>0</v>
      </c>
      <c r="Y820" s="140" t="str">
        <f t="shared" si="185"/>
        <v/>
      </c>
      <c r="Z820" s="519">
        <v>0</v>
      </c>
      <c r="AA820" s="111">
        <f t="shared" si="174"/>
        <v>0</v>
      </c>
      <c r="AB820" s="111">
        <f t="shared" si="175"/>
        <v>0</v>
      </c>
    </row>
    <row r="821" spans="1:28" ht="24.75" customHeight="1">
      <c r="A821" s="121" t="s">
        <v>1872</v>
      </c>
      <c r="B821" s="128" t="s">
        <v>1823</v>
      </c>
      <c r="C821" s="106" t="s">
        <v>2270</v>
      </c>
      <c r="D821" s="106" t="s">
        <v>3183</v>
      </c>
      <c r="E821" s="559" t="s">
        <v>1874</v>
      </c>
      <c r="F821" s="579" t="s">
        <v>1873</v>
      </c>
      <c r="G821" s="555" t="s">
        <v>1155</v>
      </c>
      <c r="H821" s="555" t="s">
        <v>1072</v>
      </c>
      <c r="I821" s="556" t="s">
        <v>2929</v>
      </c>
      <c r="J821" s="557" t="s">
        <v>1072</v>
      </c>
      <c r="K821" s="558" t="s">
        <v>2929</v>
      </c>
      <c r="L821" s="95"/>
      <c r="M821" s="104"/>
      <c r="N821" s="137">
        <v>0</v>
      </c>
      <c r="O821" s="138">
        <v>0</v>
      </c>
      <c r="P821" s="138">
        <v>0</v>
      </c>
      <c r="Q821" s="138">
        <v>0</v>
      </c>
      <c r="R821" s="138">
        <v>0</v>
      </c>
      <c r="S821" s="139">
        <v>0</v>
      </c>
      <c r="T821" s="322">
        <f t="shared" si="181"/>
        <v>0</v>
      </c>
      <c r="U821" s="140" t="str">
        <f t="shared" si="182"/>
        <v/>
      </c>
      <c r="V821" s="322">
        <f t="shared" si="173"/>
        <v>0</v>
      </c>
      <c r="W821" s="140" t="str">
        <f t="shared" si="183"/>
        <v/>
      </c>
      <c r="X821" s="322">
        <f t="shared" si="184"/>
        <v>0</v>
      </c>
      <c r="Y821" s="140" t="str">
        <f t="shared" si="185"/>
        <v/>
      </c>
      <c r="Z821" s="519">
        <v>0</v>
      </c>
      <c r="AA821" s="111">
        <f t="shared" si="174"/>
        <v>0</v>
      </c>
      <c r="AB821" s="111">
        <f t="shared" si="175"/>
        <v>0</v>
      </c>
    </row>
    <row r="822" spans="1:28" ht="18" customHeight="1">
      <c r="A822" s="122" t="s">
        <v>1875</v>
      </c>
      <c r="B822" s="129" t="s">
        <v>1823</v>
      </c>
      <c r="C822" s="107" t="s">
        <v>3189</v>
      </c>
      <c r="D822" s="107" t="s">
        <v>3185</v>
      </c>
      <c r="E822" s="554" t="s">
        <v>1877</v>
      </c>
      <c r="F822" s="554" t="s">
        <v>1876</v>
      </c>
      <c r="G822" s="555"/>
      <c r="H822" s="555"/>
      <c r="I822" s="556"/>
      <c r="J822" s="557"/>
      <c r="K822" s="558"/>
      <c r="L822" s="95"/>
      <c r="M822" s="104"/>
      <c r="N822" s="137">
        <v>0</v>
      </c>
      <c r="O822" s="138">
        <v>0</v>
      </c>
      <c r="P822" s="138">
        <v>0</v>
      </c>
      <c r="Q822" s="138">
        <v>0</v>
      </c>
      <c r="R822" s="138">
        <v>0</v>
      </c>
      <c r="S822" s="139">
        <v>0</v>
      </c>
      <c r="T822" s="322">
        <f t="shared" si="181"/>
        <v>0</v>
      </c>
      <c r="U822" s="140" t="str">
        <f t="shared" si="182"/>
        <v/>
      </c>
      <c r="V822" s="322">
        <f t="shared" si="173"/>
        <v>0</v>
      </c>
      <c r="W822" s="140" t="str">
        <f t="shared" si="183"/>
        <v/>
      </c>
      <c r="X822" s="322">
        <f t="shared" si="184"/>
        <v>0</v>
      </c>
      <c r="Y822" s="140" t="str">
        <f t="shared" si="185"/>
        <v/>
      </c>
      <c r="Z822" s="519">
        <v>0</v>
      </c>
      <c r="AA822" s="111">
        <f t="shared" si="174"/>
        <v>0</v>
      </c>
      <c r="AB822" s="111">
        <f t="shared" si="175"/>
        <v>0</v>
      </c>
    </row>
    <row r="823" spans="1:28" ht="18" customHeight="1">
      <c r="A823" s="121" t="s">
        <v>1878</v>
      </c>
      <c r="B823" s="128" t="s">
        <v>1823</v>
      </c>
      <c r="C823" s="106" t="s">
        <v>3189</v>
      </c>
      <c r="D823" s="106" t="s">
        <v>3183</v>
      </c>
      <c r="E823" s="559" t="s">
        <v>1877</v>
      </c>
      <c r="F823" s="559" t="s">
        <v>1876</v>
      </c>
      <c r="G823" s="555" t="s">
        <v>1189</v>
      </c>
      <c r="H823" s="555" t="s">
        <v>2659</v>
      </c>
      <c r="I823" s="556" t="s">
        <v>2660</v>
      </c>
      <c r="J823" s="557" t="s">
        <v>196</v>
      </c>
      <c r="K823" s="558" t="s">
        <v>2890</v>
      </c>
      <c r="L823" s="95"/>
      <c r="M823" s="104"/>
      <c r="N823" s="137">
        <v>122000.66</v>
      </c>
      <c r="O823" s="138">
        <v>120000</v>
      </c>
      <c r="P823" s="138">
        <v>122000</v>
      </c>
      <c r="Q823" s="138">
        <v>122000</v>
      </c>
      <c r="R823" s="138">
        <v>122000</v>
      </c>
      <c r="S823" s="139">
        <v>122000</v>
      </c>
      <c r="T823" s="322">
        <f t="shared" si="181"/>
        <v>-0.66000000000349246</v>
      </c>
      <c r="U823" s="140">
        <f t="shared" si="182"/>
        <v>-5.4098067994344653E-6</v>
      </c>
      <c r="V823" s="322">
        <f t="shared" si="173"/>
        <v>2000</v>
      </c>
      <c r="W823" s="140">
        <f t="shared" si="183"/>
        <v>1.6666666666666666E-2</v>
      </c>
      <c r="X823" s="322">
        <f t="shared" si="184"/>
        <v>0</v>
      </c>
      <c r="Y823" s="140">
        <f t="shared" si="185"/>
        <v>0</v>
      </c>
      <c r="Z823" s="519">
        <v>91458.75</v>
      </c>
      <c r="AA823" s="111">
        <f t="shared" si="174"/>
        <v>121945</v>
      </c>
      <c r="AB823" s="111">
        <f t="shared" si="175"/>
        <v>55</v>
      </c>
    </row>
    <row r="824" spans="1:28" ht="18" customHeight="1">
      <c r="A824" s="122" t="s">
        <v>1879</v>
      </c>
      <c r="B824" s="129" t="s">
        <v>1823</v>
      </c>
      <c r="C824" s="107" t="s">
        <v>3190</v>
      </c>
      <c r="D824" s="107" t="s">
        <v>3185</v>
      </c>
      <c r="E824" s="554" t="s">
        <v>1881</v>
      </c>
      <c r="F824" s="534" t="s">
        <v>1880</v>
      </c>
      <c r="G824" s="555"/>
      <c r="H824" s="555"/>
      <c r="I824" s="556"/>
      <c r="J824" s="557"/>
      <c r="K824" s="558"/>
      <c r="L824" s="95"/>
      <c r="M824" s="104"/>
      <c r="N824" s="137">
        <v>0</v>
      </c>
      <c r="O824" s="138">
        <v>0</v>
      </c>
      <c r="P824" s="138">
        <v>0</v>
      </c>
      <c r="Q824" s="138">
        <v>0</v>
      </c>
      <c r="R824" s="138">
        <v>0</v>
      </c>
      <c r="S824" s="139">
        <v>0</v>
      </c>
      <c r="T824" s="322">
        <f t="shared" si="181"/>
        <v>0</v>
      </c>
      <c r="U824" s="140" t="str">
        <f t="shared" si="182"/>
        <v/>
      </c>
      <c r="V824" s="322">
        <f t="shared" si="173"/>
        <v>0</v>
      </c>
      <c r="W824" s="140" t="str">
        <f t="shared" si="183"/>
        <v/>
      </c>
      <c r="X824" s="322">
        <f t="shared" si="184"/>
        <v>0</v>
      </c>
      <c r="Y824" s="140" t="str">
        <f t="shared" si="185"/>
        <v/>
      </c>
      <c r="Z824" s="519">
        <v>0</v>
      </c>
      <c r="AA824" s="111">
        <f t="shared" si="174"/>
        <v>0</v>
      </c>
      <c r="AB824" s="111">
        <f t="shared" si="175"/>
        <v>0</v>
      </c>
    </row>
    <row r="825" spans="1:28" ht="18" customHeight="1">
      <c r="A825" s="121" t="s">
        <v>1882</v>
      </c>
      <c r="B825" s="128" t="s">
        <v>1823</v>
      </c>
      <c r="C825" s="106" t="s">
        <v>3190</v>
      </c>
      <c r="D825" s="106" t="s">
        <v>3183</v>
      </c>
      <c r="E825" s="559" t="s">
        <v>1883</v>
      </c>
      <c r="F825" s="559" t="s">
        <v>5359</v>
      </c>
      <c r="G825" s="555" t="s">
        <v>1189</v>
      </c>
      <c r="H825" s="555" t="s">
        <v>2659</v>
      </c>
      <c r="I825" s="556" t="s">
        <v>2660</v>
      </c>
      <c r="J825" s="557" t="s">
        <v>196</v>
      </c>
      <c r="K825" s="558" t="s">
        <v>2890</v>
      </c>
      <c r="L825" s="95"/>
      <c r="M825" s="104"/>
      <c r="N825" s="137">
        <v>173395.91</v>
      </c>
      <c r="O825" s="138">
        <v>210000</v>
      </c>
      <c r="P825" s="138">
        <v>180000</v>
      </c>
      <c r="Q825" s="138">
        <v>180000</v>
      </c>
      <c r="R825" s="138">
        <v>180000</v>
      </c>
      <c r="S825" s="139">
        <v>180000</v>
      </c>
      <c r="T825" s="322">
        <f t="shared" si="181"/>
        <v>6604.0899999999965</v>
      </c>
      <c r="U825" s="140">
        <f t="shared" si="182"/>
        <v>3.8086769174659287E-2</v>
      </c>
      <c r="V825" s="322">
        <f t="shared" si="173"/>
        <v>-30000</v>
      </c>
      <c r="W825" s="140">
        <f t="shared" si="183"/>
        <v>-0.14285714285714285</v>
      </c>
      <c r="X825" s="322">
        <f t="shared" si="184"/>
        <v>0</v>
      </c>
      <c r="Y825" s="140">
        <f t="shared" si="185"/>
        <v>0</v>
      </c>
      <c r="Z825" s="519">
        <v>135092.07</v>
      </c>
      <c r="AA825" s="111">
        <f t="shared" si="174"/>
        <v>180122.76</v>
      </c>
      <c r="AB825" s="111">
        <f t="shared" si="175"/>
        <v>-122.76000000000931</v>
      </c>
    </row>
    <row r="826" spans="1:28" ht="18" customHeight="1">
      <c r="A826" s="122" t="s">
        <v>1884</v>
      </c>
      <c r="B826" s="129" t="s">
        <v>1823</v>
      </c>
      <c r="C826" s="107" t="s">
        <v>3191</v>
      </c>
      <c r="D826" s="107" t="s">
        <v>3185</v>
      </c>
      <c r="E826" s="554" t="s">
        <v>1886</v>
      </c>
      <c r="F826" s="534" t="s">
        <v>1885</v>
      </c>
      <c r="G826" s="555"/>
      <c r="H826" s="555"/>
      <c r="I826" s="556"/>
      <c r="J826" s="557"/>
      <c r="K826" s="558"/>
      <c r="L826" s="95"/>
      <c r="M826" s="104"/>
      <c r="N826" s="137">
        <v>0</v>
      </c>
      <c r="O826" s="138">
        <v>0</v>
      </c>
      <c r="P826" s="138">
        <v>0</v>
      </c>
      <c r="Q826" s="138">
        <v>0</v>
      </c>
      <c r="R826" s="138">
        <v>0</v>
      </c>
      <c r="S826" s="139">
        <v>0</v>
      </c>
      <c r="T826" s="322">
        <f t="shared" si="181"/>
        <v>0</v>
      </c>
      <c r="U826" s="140" t="str">
        <f t="shared" si="182"/>
        <v/>
      </c>
      <c r="V826" s="322">
        <f t="shared" si="173"/>
        <v>0</v>
      </c>
      <c r="W826" s="140" t="str">
        <f t="shared" si="183"/>
        <v/>
      </c>
      <c r="X826" s="322">
        <f t="shared" si="184"/>
        <v>0</v>
      </c>
      <c r="Y826" s="140" t="str">
        <f t="shared" si="185"/>
        <v/>
      </c>
      <c r="Z826" s="519">
        <v>0</v>
      </c>
      <c r="AA826" s="111">
        <f t="shared" si="174"/>
        <v>0</v>
      </c>
      <c r="AB826" s="111">
        <f t="shared" si="175"/>
        <v>0</v>
      </c>
    </row>
    <row r="827" spans="1:28" ht="18" customHeight="1">
      <c r="A827" s="121" t="s">
        <v>1887</v>
      </c>
      <c r="B827" s="128" t="s">
        <v>1823</v>
      </c>
      <c r="C827" s="106" t="s">
        <v>3191</v>
      </c>
      <c r="D827" s="106" t="s">
        <v>3183</v>
      </c>
      <c r="E827" s="559" t="s">
        <v>1886</v>
      </c>
      <c r="F827" s="540" t="s">
        <v>1885</v>
      </c>
      <c r="G827" s="555" t="s">
        <v>1189</v>
      </c>
      <c r="H827" s="555" t="s">
        <v>2659</v>
      </c>
      <c r="I827" s="556" t="s">
        <v>2660</v>
      </c>
      <c r="J827" s="557" t="s">
        <v>196</v>
      </c>
      <c r="K827" s="558" t="s">
        <v>2890</v>
      </c>
      <c r="L827" s="95"/>
      <c r="M827" s="104"/>
      <c r="N827" s="137">
        <v>43579.9</v>
      </c>
      <c r="O827" s="138">
        <v>45000</v>
      </c>
      <c r="P827" s="138">
        <v>45000</v>
      </c>
      <c r="Q827" s="138">
        <v>45000</v>
      </c>
      <c r="R827" s="138">
        <v>45000</v>
      </c>
      <c r="S827" s="139">
        <v>45000</v>
      </c>
      <c r="T827" s="322">
        <f t="shared" si="181"/>
        <v>1420.0999999999985</v>
      </c>
      <c r="U827" s="140">
        <f t="shared" si="182"/>
        <v>3.2586123419282707E-2</v>
      </c>
      <c r="V827" s="322">
        <f t="shared" si="173"/>
        <v>0</v>
      </c>
      <c r="W827" s="140">
        <f t="shared" si="183"/>
        <v>0</v>
      </c>
      <c r="X827" s="322">
        <f t="shared" si="184"/>
        <v>0</v>
      </c>
      <c r="Y827" s="140">
        <f t="shared" si="185"/>
        <v>0</v>
      </c>
      <c r="Z827" s="519">
        <v>33486.199999999997</v>
      </c>
      <c r="AA827" s="111">
        <f t="shared" si="174"/>
        <v>44648.266666666663</v>
      </c>
      <c r="AB827" s="111">
        <f t="shared" si="175"/>
        <v>351.73333333333721</v>
      </c>
    </row>
    <row r="828" spans="1:28" ht="24.75" customHeight="1">
      <c r="A828" s="122" t="s">
        <v>1888</v>
      </c>
      <c r="B828" s="129" t="s">
        <v>1823</v>
      </c>
      <c r="C828" s="107" t="s">
        <v>3194</v>
      </c>
      <c r="D828" s="107" t="s">
        <v>3185</v>
      </c>
      <c r="E828" s="554" t="s">
        <v>3772</v>
      </c>
      <c r="F828" s="534" t="s">
        <v>3773</v>
      </c>
      <c r="G828" s="555"/>
      <c r="H828" s="555"/>
      <c r="I828" s="556"/>
      <c r="J828" s="557"/>
      <c r="K828" s="558"/>
      <c r="L828" s="95"/>
      <c r="M828" s="104"/>
      <c r="N828" s="137">
        <v>0</v>
      </c>
      <c r="O828" s="138">
        <v>0</v>
      </c>
      <c r="P828" s="138">
        <v>0</v>
      </c>
      <c r="Q828" s="138">
        <v>0</v>
      </c>
      <c r="R828" s="138">
        <v>0</v>
      </c>
      <c r="S828" s="139">
        <v>0</v>
      </c>
      <c r="T828" s="322">
        <f t="shared" si="181"/>
        <v>0</v>
      </c>
      <c r="U828" s="140" t="str">
        <f t="shared" si="182"/>
        <v/>
      </c>
      <c r="V828" s="322">
        <f t="shared" si="173"/>
        <v>0</v>
      </c>
      <c r="W828" s="140" t="str">
        <f t="shared" si="183"/>
        <v/>
      </c>
      <c r="X828" s="322">
        <f t="shared" si="184"/>
        <v>0</v>
      </c>
      <c r="Y828" s="140" t="str">
        <f t="shared" si="185"/>
        <v/>
      </c>
      <c r="Z828" s="519">
        <v>0</v>
      </c>
      <c r="AA828" s="111">
        <f t="shared" si="174"/>
        <v>0</v>
      </c>
      <c r="AB828" s="111">
        <f t="shared" si="175"/>
        <v>0</v>
      </c>
    </row>
    <row r="829" spans="1:28" ht="24.75" customHeight="1">
      <c r="A829" s="121" t="s">
        <v>1889</v>
      </c>
      <c r="B829" s="128" t="s">
        <v>1823</v>
      </c>
      <c r="C829" s="106" t="s">
        <v>3194</v>
      </c>
      <c r="D829" s="106" t="s">
        <v>3183</v>
      </c>
      <c r="E829" s="559" t="s">
        <v>3772</v>
      </c>
      <c r="F829" s="579" t="s">
        <v>4343</v>
      </c>
      <c r="G829" s="555" t="s">
        <v>1189</v>
      </c>
      <c r="H829" s="555" t="s">
        <v>2659</v>
      </c>
      <c r="I829" s="556" t="s">
        <v>2660</v>
      </c>
      <c r="J829" s="557" t="s">
        <v>196</v>
      </c>
      <c r="K829" s="558" t="s">
        <v>2890</v>
      </c>
      <c r="L829" s="95"/>
      <c r="M829" s="104"/>
      <c r="N829" s="137">
        <v>0</v>
      </c>
      <c r="O829" s="138">
        <v>0</v>
      </c>
      <c r="P829" s="138">
        <v>0</v>
      </c>
      <c r="Q829" s="138">
        <v>0</v>
      </c>
      <c r="R829" s="138">
        <v>0</v>
      </c>
      <c r="S829" s="139">
        <v>0</v>
      </c>
      <c r="T829" s="322">
        <f t="shared" si="181"/>
        <v>0</v>
      </c>
      <c r="U829" s="140" t="str">
        <f t="shared" si="182"/>
        <v/>
      </c>
      <c r="V829" s="322">
        <f t="shared" si="173"/>
        <v>0</v>
      </c>
      <c r="W829" s="140" t="str">
        <f t="shared" si="183"/>
        <v/>
      </c>
      <c r="X829" s="322">
        <f t="shared" si="184"/>
        <v>0</v>
      </c>
      <c r="Y829" s="140" t="str">
        <f t="shared" si="185"/>
        <v/>
      </c>
      <c r="Z829" s="519">
        <v>0</v>
      </c>
      <c r="AA829" s="111">
        <f t="shared" si="174"/>
        <v>0</v>
      </c>
      <c r="AB829" s="111">
        <f t="shared" si="175"/>
        <v>0</v>
      </c>
    </row>
    <row r="830" spans="1:28" ht="18" customHeight="1">
      <c r="A830" s="122" t="s">
        <v>1890</v>
      </c>
      <c r="B830" s="129" t="s">
        <v>1823</v>
      </c>
      <c r="C830" s="107" t="s">
        <v>2139</v>
      </c>
      <c r="D830" s="107" t="s">
        <v>3185</v>
      </c>
      <c r="E830" s="554" t="s">
        <v>1892</v>
      </c>
      <c r="F830" s="534" t="s">
        <v>1891</v>
      </c>
      <c r="G830" s="555"/>
      <c r="H830" s="555"/>
      <c r="I830" s="556"/>
      <c r="J830" s="557"/>
      <c r="K830" s="558"/>
      <c r="L830" s="95"/>
      <c r="M830" s="104"/>
      <c r="N830" s="137">
        <v>0</v>
      </c>
      <c r="O830" s="138">
        <v>0</v>
      </c>
      <c r="P830" s="138">
        <v>0</v>
      </c>
      <c r="Q830" s="138">
        <v>0</v>
      </c>
      <c r="R830" s="138">
        <v>0</v>
      </c>
      <c r="S830" s="139">
        <v>0</v>
      </c>
      <c r="T830" s="322">
        <f t="shared" si="181"/>
        <v>0</v>
      </c>
      <c r="U830" s="140" t="str">
        <f t="shared" si="182"/>
        <v/>
      </c>
      <c r="V830" s="322">
        <f t="shared" si="173"/>
        <v>0</v>
      </c>
      <c r="W830" s="140" t="str">
        <f t="shared" si="183"/>
        <v/>
      </c>
      <c r="X830" s="322">
        <f t="shared" si="184"/>
        <v>0</v>
      </c>
      <c r="Y830" s="140" t="str">
        <f t="shared" si="185"/>
        <v/>
      </c>
      <c r="Z830" s="519">
        <v>0</v>
      </c>
      <c r="AA830" s="111">
        <f t="shared" si="174"/>
        <v>0</v>
      </c>
      <c r="AB830" s="111">
        <f t="shared" si="175"/>
        <v>0</v>
      </c>
    </row>
    <row r="831" spans="1:28" ht="18" customHeight="1">
      <c r="A831" s="121" t="s">
        <v>1893</v>
      </c>
      <c r="B831" s="128" t="s">
        <v>1823</v>
      </c>
      <c r="C831" s="106" t="s">
        <v>2139</v>
      </c>
      <c r="D831" s="106" t="s">
        <v>3183</v>
      </c>
      <c r="E831" s="559" t="s">
        <v>1892</v>
      </c>
      <c r="F831" s="540" t="s">
        <v>1891</v>
      </c>
      <c r="G831" s="555" t="s">
        <v>1189</v>
      </c>
      <c r="H831" s="555" t="s">
        <v>2659</v>
      </c>
      <c r="I831" s="556" t="s">
        <v>2660</v>
      </c>
      <c r="J831" s="557" t="s">
        <v>196</v>
      </c>
      <c r="K831" s="558" t="s">
        <v>2890</v>
      </c>
      <c r="L831" s="95"/>
      <c r="M831" s="104"/>
      <c r="N831" s="137">
        <v>166808.45000000001</v>
      </c>
      <c r="O831" s="138">
        <v>185000</v>
      </c>
      <c r="P831" s="138">
        <v>185000</v>
      </c>
      <c r="Q831" s="138">
        <v>185000</v>
      </c>
      <c r="R831" s="138">
        <v>185000</v>
      </c>
      <c r="S831" s="139">
        <v>185000</v>
      </c>
      <c r="T831" s="322">
        <f t="shared" si="181"/>
        <v>18191.549999999988</v>
      </c>
      <c r="U831" s="140">
        <f t="shared" si="182"/>
        <v>0.10905652561366039</v>
      </c>
      <c r="V831" s="322">
        <f t="shared" si="173"/>
        <v>0</v>
      </c>
      <c r="W831" s="140">
        <f t="shared" si="183"/>
        <v>0</v>
      </c>
      <c r="X831" s="322">
        <f t="shared" si="184"/>
        <v>0</v>
      </c>
      <c r="Y831" s="140">
        <f t="shared" si="185"/>
        <v>0</v>
      </c>
      <c r="Z831" s="519">
        <v>138937.51999999999</v>
      </c>
      <c r="AA831" s="111">
        <f t="shared" si="174"/>
        <v>185250.02666666664</v>
      </c>
      <c r="AB831" s="111">
        <f t="shared" si="175"/>
        <v>-250.026666666643</v>
      </c>
    </row>
    <row r="832" spans="1:28" ht="18" customHeight="1">
      <c r="A832" s="113" t="s">
        <v>2661</v>
      </c>
      <c r="B832" s="135" t="s">
        <v>2662</v>
      </c>
      <c r="C832" s="136" t="s">
        <v>3184</v>
      </c>
      <c r="D832" s="136" t="s">
        <v>3185</v>
      </c>
      <c r="E832" s="529" t="s">
        <v>2663</v>
      </c>
      <c r="F832" s="529" t="s">
        <v>2664</v>
      </c>
      <c r="G832" s="530"/>
      <c r="H832" s="530"/>
      <c r="I832" s="531"/>
      <c r="J832" s="532"/>
      <c r="K832" s="533"/>
      <c r="L832" s="95"/>
      <c r="M832" s="147"/>
      <c r="N832" s="137">
        <v>0</v>
      </c>
      <c r="O832" s="138">
        <v>0</v>
      </c>
      <c r="P832" s="138">
        <v>0</v>
      </c>
      <c r="Q832" s="138">
        <v>0</v>
      </c>
      <c r="R832" s="138">
        <v>0</v>
      </c>
      <c r="S832" s="139">
        <v>0</v>
      </c>
      <c r="T832" s="322">
        <f t="shared" si="181"/>
        <v>0</v>
      </c>
      <c r="U832" s="140" t="str">
        <f t="shared" si="182"/>
        <v/>
      </c>
      <c r="V832" s="322">
        <f t="shared" si="173"/>
        <v>0</v>
      </c>
      <c r="W832" s="140" t="str">
        <f t="shared" si="183"/>
        <v/>
      </c>
      <c r="X832" s="322">
        <f t="shared" si="184"/>
        <v>0</v>
      </c>
      <c r="Y832" s="140" t="str">
        <f t="shared" si="185"/>
        <v/>
      </c>
      <c r="Z832" s="519">
        <v>0</v>
      </c>
      <c r="AA832" s="111">
        <f t="shared" si="174"/>
        <v>0</v>
      </c>
      <c r="AB832" s="111">
        <f t="shared" si="175"/>
        <v>0</v>
      </c>
    </row>
    <row r="833" spans="1:28" ht="18" customHeight="1">
      <c r="A833" s="122" t="s">
        <v>2665</v>
      </c>
      <c r="B833" s="127" t="s">
        <v>2662</v>
      </c>
      <c r="C833" s="99" t="s">
        <v>3186</v>
      </c>
      <c r="D833" s="99" t="s">
        <v>3185</v>
      </c>
      <c r="E833" s="534" t="s">
        <v>2663</v>
      </c>
      <c r="F833" s="534" t="s">
        <v>2664</v>
      </c>
      <c r="G833" s="585"/>
      <c r="H833" s="585"/>
      <c r="I833" s="586"/>
      <c r="J833" s="587"/>
      <c r="K833" s="588"/>
      <c r="L833" s="95"/>
      <c r="M833" s="112"/>
      <c r="N833" s="137">
        <v>0</v>
      </c>
      <c r="O833" s="138">
        <v>0</v>
      </c>
      <c r="P833" s="138">
        <v>0</v>
      </c>
      <c r="Q833" s="138">
        <v>0</v>
      </c>
      <c r="R833" s="138">
        <v>0</v>
      </c>
      <c r="S833" s="139">
        <v>0</v>
      </c>
      <c r="T833" s="322">
        <f t="shared" si="181"/>
        <v>0</v>
      </c>
      <c r="U833" s="140" t="str">
        <f t="shared" si="182"/>
        <v/>
      </c>
      <c r="V833" s="322">
        <f t="shared" si="173"/>
        <v>0</v>
      </c>
      <c r="W833" s="140" t="str">
        <f t="shared" si="183"/>
        <v/>
      </c>
      <c r="X833" s="322">
        <f t="shared" si="184"/>
        <v>0</v>
      </c>
      <c r="Y833" s="140" t="str">
        <f t="shared" si="185"/>
        <v/>
      </c>
      <c r="Z833" s="519">
        <v>0</v>
      </c>
      <c r="AA833" s="111">
        <f t="shared" si="174"/>
        <v>0</v>
      </c>
      <c r="AB833" s="111">
        <f t="shared" si="175"/>
        <v>0</v>
      </c>
    </row>
    <row r="834" spans="1:28" ht="18" customHeight="1">
      <c r="A834" s="121" t="s">
        <v>2666</v>
      </c>
      <c r="B834" s="126" t="s">
        <v>2662</v>
      </c>
      <c r="C834" s="98" t="s">
        <v>3186</v>
      </c>
      <c r="D834" s="98" t="s">
        <v>3183</v>
      </c>
      <c r="E834" s="540" t="s">
        <v>2663</v>
      </c>
      <c r="F834" s="540" t="s">
        <v>2664</v>
      </c>
      <c r="G834" s="511" t="s">
        <v>1191</v>
      </c>
      <c r="H834" s="511" t="s">
        <v>2667</v>
      </c>
      <c r="I834" s="544" t="s">
        <v>2668</v>
      </c>
      <c r="J834" s="542" t="s">
        <v>196</v>
      </c>
      <c r="K834" s="543" t="s">
        <v>2890</v>
      </c>
      <c r="L834" s="95"/>
      <c r="M834" s="104"/>
      <c r="N834" s="137">
        <v>4862.3999999999996</v>
      </c>
      <c r="O834" s="138">
        <v>4000</v>
      </c>
      <c r="P834" s="138">
        <v>5000</v>
      </c>
      <c r="Q834" s="138">
        <v>5000</v>
      </c>
      <c r="R834" s="138">
        <v>5000</v>
      </c>
      <c r="S834" s="139">
        <v>5000</v>
      </c>
      <c r="T834" s="322">
        <f t="shared" si="181"/>
        <v>137.60000000000036</v>
      </c>
      <c r="U834" s="140">
        <f t="shared" si="182"/>
        <v>2.8298782494241604E-2</v>
      </c>
      <c r="V834" s="322">
        <f t="shared" si="173"/>
        <v>1000</v>
      </c>
      <c r="W834" s="140">
        <f t="shared" si="183"/>
        <v>0.25</v>
      </c>
      <c r="X834" s="322">
        <f t="shared" si="184"/>
        <v>0</v>
      </c>
      <c r="Y834" s="140">
        <f t="shared" si="185"/>
        <v>0</v>
      </c>
      <c r="Z834" s="519">
        <v>159.5</v>
      </c>
      <c r="AA834" s="111">
        <f t="shared" si="174"/>
        <v>212.66666666666666</v>
      </c>
      <c r="AB834" s="111">
        <f t="shared" si="175"/>
        <v>4787.333333333333</v>
      </c>
    </row>
    <row r="835" spans="1:28" ht="26.25" customHeight="1">
      <c r="A835" s="113" t="s">
        <v>1894</v>
      </c>
      <c r="B835" s="135" t="s">
        <v>3194</v>
      </c>
      <c r="C835" s="136" t="s">
        <v>3184</v>
      </c>
      <c r="D835" s="136" t="s">
        <v>3185</v>
      </c>
      <c r="E835" s="529" t="s">
        <v>1896</v>
      </c>
      <c r="F835" s="529" t="s">
        <v>1895</v>
      </c>
      <c r="G835" s="530"/>
      <c r="H835" s="530"/>
      <c r="I835" s="531"/>
      <c r="J835" s="532"/>
      <c r="K835" s="533"/>
      <c r="L835" s="95"/>
      <c r="M835" s="147"/>
      <c r="N835" s="137">
        <v>0</v>
      </c>
      <c r="O835" s="138">
        <v>0</v>
      </c>
      <c r="P835" s="138">
        <v>0</v>
      </c>
      <c r="Q835" s="138">
        <v>0</v>
      </c>
      <c r="R835" s="138">
        <v>0</v>
      </c>
      <c r="S835" s="139">
        <v>0</v>
      </c>
      <c r="T835" s="322">
        <f t="shared" si="181"/>
        <v>0</v>
      </c>
      <c r="U835" s="140" t="str">
        <f t="shared" si="182"/>
        <v/>
      </c>
      <c r="V835" s="322">
        <f t="shared" si="173"/>
        <v>0</v>
      </c>
      <c r="W835" s="140" t="str">
        <f t="shared" si="183"/>
        <v/>
      </c>
      <c r="X835" s="322">
        <f t="shared" si="184"/>
        <v>0</v>
      </c>
      <c r="Y835" s="140" t="str">
        <f t="shared" si="185"/>
        <v/>
      </c>
      <c r="Z835" s="519">
        <v>0</v>
      </c>
      <c r="AA835" s="111">
        <f t="shared" si="174"/>
        <v>0</v>
      </c>
      <c r="AB835" s="111">
        <f t="shared" si="175"/>
        <v>0</v>
      </c>
    </row>
    <row r="836" spans="1:28" ht="26.25" customHeight="1">
      <c r="A836" s="122" t="s">
        <v>1897</v>
      </c>
      <c r="B836" s="129" t="s">
        <v>3194</v>
      </c>
      <c r="C836" s="107" t="s">
        <v>3186</v>
      </c>
      <c r="D836" s="107" t="s">
        <v>3185</v>
      </c>
      <c r="E836" s="534" t="s">
        <v>1898</v>
      </c>
      <c r="F836" s="534" t="s">
        <v>5360</v>
      </c>
      <c r="G836" s="555"/>
      <c r="H836" s="555"/>
      <c r="I836" s="556"/>
      <c r="J836" s="557"/>
      <c r="K836" s="558"/>
      <c r="L836" s="95"/>
      <c r="M836" s="104"/>
      <c r="N836" s="137">
        <v>0</v>
      </c>
      <c r="O836" s="138">
        <v>0</v>
      </c>
      <c r="P836" s="138">
        <v>0</v>
      </c>
      <c r="Q836" s="138">
        <v>0</v>
      </c>
      <c r="R836" s="138">
        <v>0</v>
      </c>
      <c r="S836" s="139">
        <v>0</v>
      </c>
      <c r="T836" s="322">
        <f t="shared" si="181"/>
        <v>0</v>
      </c>
      <c r="U836" s="140" t="str">
        <f t="shared" si="182"/>
        <v/>
      </c>
      <c r="V836" s="322">
        <f t="shared" si="173"/>
        <v>0</v>
      </c>
      <c r="W836" s="140" t="str">
        <f t="shared" si="183"/>
        <v/>
      </c>
      <c r="X836" s="322">
        <f t="shared" si="184"/>
        <v>0</v>
      </c>
      <c r="Y836" s="140" t="str">
        <f t="shared" si="185"/>
        <v/>
      </c>
      <c r="Z836" s="519">
        <v>0</v>
      </c>
      <c r="AA836" s="111">
        <f t="shared" si="174"/>
        <v>0</v>
      </c>
      <c r="AB836" s="111">
        <f t="shared" si="175"/>
        <v>0</v>
      </c>
    </row>
    <row r="837" spans="1:28" ht="18" customHeight="1">
      <c r="A837" s="114" t="s">
        <v>1899</v>
      </c>
      <c r="B837" s="313" t="s">
        <v>3194</v>
      </c>
      <c r="C837" s="314" t="s">
        <v>3186</v>
      </c>
      <c r="D837" s="314" t="s">
        <v>3183</v>
      </c>
      <c r="E837" s="563" t="s">
        <v>1898</v>
      </c>
      <c r="F837" s="563" t="s">
        <v>5360</v>
      </c>
      <c r="G837" s="564" t="s">
        <v>119</v>
      </c>
      <c r="H837" s="564" t="s">
        <v>3332</v>
      </c>
      <c r="I837" s="565" t="s">
        <v>194</v>
      </c>
      <c r="J837" s="566" t="s">
        <v>2898</v>
      </c>
      <c r="K837" s="567" t="s">
        <v>2899</v>
      </c>
      <c r="L837" s="95"/>
      <c r="M837" s="104"/>
      <c r="N837" s="137">
        <v>-2029739.9900000002</v>
      </c>
      <c r="O837" s="138">
        <v>0</v>
      </c>
      <c r="P837" s="138">
        <v>0</v>
      </c>
      <c r="Q837" s="138">
        <v>0</v>
      </c>
      <c r="R837" s="138">
        <v>0</v>
      </c>
      <c r="S837" s="139">
        <v>0</v>
      </c>
      <c r="T837" s="322">
        <f t="shared" si="181"/>
        <v>2029739.9900000002</v>
      </c>
      <c r="U837" s="140">
        <f t="shared" si="182"/>
        <v>-1</v>
      </c>
      <c r="V837" s="322">
        <f t="shared" si="173"/>
        <v>0</v>
      </c>
      <c r="W837" s="140" t="str">
        <f t="shared" si="183"/>
        <v/>
      </c>
      <c r="X837" s="322">
        <f t="shared" si="184"/>
        <v>0</v>
      </c>
      <c r="Y837" s="140" t="str">
        <f t="shared" si="185"/>
        <v/>
      </c>
      <c r="Z837" s="519">
        <v>0</v>
      </c>
      <c r="AA837" s="111">
        <f t="shared" si="174"/>
        <v>0</v>
      </c>
      <c r="AB837" s="111">
        <f t="shared" si="175"/>
        <v>0</v>
      </c>
    </row>
    <row r="838" spans="1:28" ht="28.5" customHeight="1">
      <c r="A838" s="510" t="s">
        <v>5105</v>
      </c>
      <c r="B838" s="305" t="s">
        <v>3194</v>
      </c>
      <c r="C838" s="306" t="s">
        <v>3186</v>
      </c>
      <c r="D838" s="306" t="s">
        <v>2833</v>
      </c>
      <c r="E838" s="561" t="s">
        <v>5228</v>
      </c>
      <c r="F838" s="561" t="s">
        <v>5361</v>
      </c>
      <c r="G838" s="548" t="s">
        <v>4830</v>
      </c>
      <c r="H838" s="548" t="s">
        <v>5008</v>
      </c>
      <c r="I838" s="549" t="s">
        <v>5009</v>
      </c>
      <c r="J838" s="550" t="s">
        <v>2898</v>
      </c>
      <c r="K838" s="551" t="s">
        <v>2899</v>
      </c>
      <c r="L838" s="95"/>
      <c r="M838" s="104"/>
      <c r="N838" s="137">
        <v>0</v>
      </c>
      <c r="O838" s="138">
        <v>0</v>
      </c>
      <c r="P838" s="138">
        <v>0</v>
      </c>
      <c r="Q838" s="138">
        <v>0</v>
      </c>
      <c r="R838" s="138">
        <v>0</v>
      </c>
      <c r="S838" s="139">
        <v>0</v>
      </c>
      <c r="T838" s="322">
        <f t="shared" ref="T838:T845" si="186">IF(N838="","",Q838-N838)</f>
        <v>0</v>
      </c>
      <c r="U838" s="140" t="str">
        <f t="shared" ref="U838:U845" si="187">IF(N838=0,"",T838/N838)</f>
        <v/>
      </c>
      <c r="V838" s="322">
        <f t="shared" si="173"/>
        <v>0</v>
      </c>
      <c r="W838" s="140" t="str">
        <f t="shared" ref="W838:W845" si="188">IF(O838=0,"",V838/O838)</f>
        <v/>
      </c>
      <c r="X838" s="322">
        <f t="shared" ref="X838:X845" si="189">IF(P838="","",Q838-P838)</f>
        <v>0</v>
      </c>
      <c r="Y838" s="140" t="str">
        <f t="shared" ref="Y838:Y845" si="190">IF(P838=0,"",X838/P838)</f>
        <v/>
      </c>
      <c r="Z838" s="519">
        <v>0</v>
      </c>
      <c r="AA838" s="111">
        <f t="shared" si="174"/>
        <v>0</v>
      </c>
      <c r="AB838" s="111">
        <f t="shared" si="175"/>
        <v>0</v>
      </c>
    </row>
    <row r="839" spans="1:28" ht="28.5" customHeight="1">
      <c r="A839" s="510" t="s">
        <v>5106</v>
      </c>
      <c r="B839" s="305" t="s">
        <v>3194</v>
      </c>
      <c r="C839" s="306" t="s">
        <v>3186</v>
      </c>
      <c r="D839" s="306" t="s">
        <v>1378</v>
      </c>
      <c r="E839" s="561" t="s">
        <v>5107</v>
      </c>
      <c r="F839" s="561" t="s">
        <v>5362</v>
      </c>
      <c r="G839" s="548" t="s">
        <v>4832</v>
      </c>
      <c r="H839" s="548" t="s">
        <v>5012</v>
      </c>
      <c r="I839" s="549" t="s">
        <v>5013</v>
      </c>
      <c r="J839" s="550" t="s">
        <v>2898</v>
      </c>
      <c r="K839" s="551" t="s">
        <v>2899</v>
      </c>
      <c r="L839" s="95"/>
      <c r="M839" s="104"/>
      <c r="N839" s="137">
        <v>0</v>
      </c>
      <c r="O839" s="138">
        <v>0</v>
      </c>
      <c r="P839" s="138">
        <v>0</v>
      </c>
      <c r="Q839" s="138">
        <v>0</v>
      </c>
      <c r="R839" s="138">
        <v>0</v>
      </c>
      <c r="S839" s="139">
        <v>0</v>
      </c>
      <c r="T839" s="322">
        <f t="shared" si="186"/>
        <v>0</v>
      </c>
      <c r="U839" s="140" t="str">
        <f t="shared" si="187"/>
        <v/>
      </c>
      <c r="V839" s="322">
        <f t="shared" si="173"/>
        <v>0</v>
      </c>
      <c r="W839" s="140" t="str">
        <f t="shared" si="188"/>
        <v/>
      </c>
      <c r="X839" s="322">
        <f t="shared" si="189"/>
        <v>0</v>
      </c>
      <c r="Y839" s="140" t="str">
        <f t="shared" si="190"/>
        <v/>
      </c>
      <c r="Z839" s="519">
        <v>0</v>
      </c>
      <c r="AA839" s="111">
        <f t="shared" si="174"/>
        <v>0</v>
      </c>
      <c r="AB839" s="111">
        <f t="shared" si="175"/>
        <v>0</v>
      </c>
    </row>
    <row r="840" spans="1:28" ht="18" customHeight="1">
      <c r="A840" s="510" t="s">
        <v>5108</v>
      </c>
      <c r="B840" s="305" t="s">
        <v>3194</v>
      </c>
      <c r="C840" s="306" t="s">
        <v>3186</v>
      </c>
      <c r="D840" s="306" t="s">
        <v>1379</v>
      </c>
      <c r="E840" s="561" t="s">
        <v>5109</v>
      </c>
      <c r="F840" s="561" t="s">
        <v>5110</v>
      </c>
      <c r="G840" s="548" t="s">
        <v>4834</v>
      </c>
      <c r="H840" s="548" t="s">
        <v>5017</v>
      </c>
      <c r="I840" s="549" t="s">
        <v>2466</v>
      </c>
      <c r="J840" s="550" t="s">
        <v>2898</v>
      </c>
      <c r="K840" s="551" t="s">
        <v>2899</v>
      </c>
      <c r="L840" s="95"/>
      <c r="M840" s="104"/>
      <c r="N840" s="137">
        <v>0</v>
      </c>
      <c r="O840" s="138">
        <v>0</v>
      </c>
      <c r="P840" s="138">
        <v>0</v>
      </c>
      <c r="Q840" s="138">
        <v>0</v>
      </c>
      <c r="R840" s="138">
        <v>0</v>
      </c>
      <c r="S840" s="139">
        <v>0</v>
      </c>
      <c r="T840" s="322">
        <f t="shared" si="186"/>
        <v>0</v>
      </c>
      <c r="U840" s="140" t="str">
        <f t="shared" si="187"/>
        <v/>
      </c>
      <c r="V840" s="322">
        <f t="shared" si="173"/>
        <v>0</v>
      </c>
      <c r="W840" s="140" t="str">
        <f t="shared" si="188"/>
        <v/>
      </c>
      <c r="X840" s="322">
        <f t="shared" si="189"/>
        <v>0</v>
      </c>
      <c r="Y840" s="140" t="str">
        <f t="shared" si="190"/>
        <v/>
      </c>
      <c r="Z840" s="519">
        <v>0</v>
      </c>
      <c r="AA840" s="111">
        <f t="shared" si="174"/>
        <v>0</v>
      </c>
      <c r="AB840" s="111">
        <f t="shared" si="175"/>
        <v>0</v>
      </c>
    </row>
    <row r="841" spans="1:28" ht="18" customHeight="1">
      <c r="A841" s="510" t="s">
        <v>5111</v>
      </c>
      <c r="B841" s="305" t="s">
        <v>3194</v>
      </c>
      <c r="C841" s="306" t="s">
        <v>3186</v>
      </c>
      <c r="D841" s="306" t="s">
        <v>2467</v>
      </c>
      <c r="E841" s="561" t="s">
        <v>5112</v>
      </c>
      <c r="F841" s="561" t="s">
        <v>5113</v>
      </c>
      <c r="G841" s="548" t="s">
        <v>4836</v>
      </c>
      <c r="H841" s="548" t="s">
        <v>5021</v>
      </c>
      <c r="I841" s="549" t="s">
        <v>5022</v>
      </c>
      <c r="J841" s="550" t="s">
        <v>2898</v>
      </c>
      <c r="K841" s="551" t="s">
        <v>2899</v>
      </c>
      <c r="L841" s="95"/>
      <c r="M841" s="104"/>
      <c r="N841" s="137">
        <v>0</v>
      </c>
      <c r="O841" s="138">
        <v>0</v>
      </c>
      <c r="P841" s="138">
        <v>0</v>
      </c>
      <c r="Q841" s="138">
        <v>0</v>
      </c>
      <c r="R841" s="138">
        <v>0</v>
      </c>
      <c r="S841" s="139">
        <v>0</v>
      </c>
      <c r="T841" s="322">
        <f t="shared" si="186"/>
        <v>0</v>
      </c>
      <c r="U841" s="140" t="str">
        <f t="shared" si="187"/>
        <v/>
      </c>
      <c r="V841" s="322">
        <f t="shared" ref="V841:V904" si="191">IF(O841="","",Q841-O841)</f>
        <v>0</v>
      </c>
      <c r="W841" s="140" t="str">
        <f t="shared" si="188"/>
        <v/>
      </c>
      <c r="X841" s="322">
        <f t="shared" si="189"/>
        <v>0</v>
      </c>
      <c r="Y841" s="140" t="str">
        <f t="shared" si="190"/>
        <v/>
      </c>
      <c r="Z841" s="519">
        <v>0</v>
      </c>
      <c r="AA841" s="111">
        <f t="shared" ref="AA841:AA904" si="192">Z841/3*4</f>
        <v>0</v>
      </c>
      <c r="AB841" s="111">
        <f t="shared" ref="AB841:AB904" si="193">P841-AA841</f>
        <v>0</v>
      </c>
    </row>
    <row r="842" spans="1:28" ht="28.5" customHeight="1">
      <c r="A842" s="510" t="s">
        <v>5114</v>
      </c>
      <c r="B842" s="305" t="s">
        <v>3194</v>
      </c>
      <c r="C842" s="306" t="s">
        <v>3186</v>
      </c>
      <c r="D842" s="306" t="s">
        <v>2138</v>
      </c>
      <c r="E842" s="561" t="s">
        <v>5115</v>
      </c>
      <c r="F842" s="561" t="s">
        <v>5116</v>
      </c>
      <c r="G842" s="548" t="s">
        <v>4838</v>
      </c>
      <c r="H842" s="548" t="s">
        <v>5026</v>
      </c>
      <c r="I842" s="549" t="s">
        <v>5027</v>
      </c>
      <c r="J842" s="550" t="s">
        <v>2898</v>
      </c>
      <c r="K842" s="551" t="s">
        <v>2899</v>
      </c>
      <c r="L842" s="95"/>
      <c r="M842" s="104"/>
      <c r="N842" s="137">
        <v>0</v>
      </c>
      <c r="O842" s="138">
        <v>0</v>
      </c>
      <c r="P842" s="138">
        <v>0</v>
      </c>
      <c r="Q842" s="138">
        <v>0</v>
      </c>
      <c r="R842" s="138">
        <v>0</v>
      </c>
      <c r="S842" s="139">
        <v>0</v>
      </c>
      <c r="T842" s="322">
        <f t="shared" si="186"/>
        <v>0</v>
      </c>
      <c r="U842" s="140" t="str">
        <f t="shared" si="187"/>
        <v/>
      </c>
      <c r="V842" s="322">
        <f t="shared" si="191"/>
        <v>0</v>
      </c>
      <c r="W842" s="140" t="str">
        <f t="shared" si="188"/>
        <v/>
      </c>
      <c r="X842" s="322">
        <f t="shared" si="189"/>
        <v>0</v>
      </c>
      <c r="Y842" s="140" t="str">
        <f t="shared" si="190"/>
        <v/>
      </c>
      <c r="Z842" s="519">
        <v>0</v>
      </c>
      <c r="AA842" s="111">
        <f t="shared" si="192"/>
        <v>0</v>
      </c>
      <c r="AB842" s="111">
        <f t="shared" si="193"/>
        <v>0</v>
      </c>
    </row>
    <row r="843" spans="1:28" ht="28.5" customHeight="1">
      <c r="A843" s="510" t="s">
        <v>5117</v>
      </c>
      <c r="B843" s="305" t="s">
        <v>3194</v>
      </c>
      <c r="C843" s="306" t="s">
        <v>3186</v>
      </c>
      <c r="D843" s="306" t="s">
        <v>2468</v>
      </c>
      <c r="E843" s="561" t="s">
        <v>5118</v>
      </c>
      <c r="F843" s="561" t="s">
        <v>5119</v>
      </c>
      <c r="G843" s="548" t="s">
        <v>4840</v>
      </c>
      <c r="H843" s="548" t="s">
        <v>5031</v>
      </c>
      <c r="I843" s="549" t="s">
        <v>2469</v>
      </c>
      <c r="J843" s="550" t="s">
        <v>2898</v>
      </c>
      <c r="K843" s="551" t="s">
        <v>2899</v>
      </c>
      <c r="L843" s="95"/>
      <c r="M843" s="104"/>
      <c r="N843" s="137">
        <v>0</v>
      </c>
      <c r="O843" s="138">
        <v>0</v>
      </c>
      <c r="P843" s="138">
        <v>0</v>
      </c>
      <c r="Q843" s="138">
        <v>0</v>
      </c>
      <c r="R843" s="138">
        <v>0</v>
      </c>
      <c r="S843" s="139">
        <v>0</v>
      </c>
      <c r="T843" s="322">
        <f t="shared" si="186"/>
        <v>0</v>
      </c>
      <c r="U843" s="140" t="str">
        <f t="shared" si="187"/>
        <v/>
      </c>
      <c r="V843" s="322">
        <f t="shared" si="191"/>
        <v>0</v>
      </c>
      <c r="W843" s="140" t="str">
        <f t="shared" si="188"/>
        <v/>
      </c>
      <c r="X843" s="322">
        <f t="shared" si="189"/>
        <v>0</v>
      </c>
      <c r="Y843" s="140" t="str">
        <f t="shared" si="190"/>
        <v/>
      </c>
      <c r="Z843" s="519">
        <v>0</v>
      </c>
      <c r="AA843" s="111">
        <f t="shared" si="192"/>
        <v>0</v>
      </c>
      <c r="AB843" s="111">
        <f t="shared" si="193"/>
        <v>0</v>
      </c>
    </row>
    <row r="844" spans="1:28" ht="28.5" customHeight="1">
      <c r="A844" s="510" t="s">
        <v>5120</v>
      </c>
      <c r="B844" s="305" t="s">
        <v>3194</v>
      </c>
      <c r="C844" s="306" t="s">
        <v>3186</v>
      </c>
      <c r="D844" s="306" t="s">
        <v>2470</v>
      </c>
      <c r="E844" s="561" t="s">
        <v>5121</v>
      </c>
      <c r="F844" s="561" t="s">
        <v>5363</v>
      </c>
      <c r="G844" s="548" t="s">
        <v>4842</v>
      </c>
      <c r="H844" s="548" t="s">
        <v>5034</v>
      </c>
      <c r="I844" s="549" t="s">
        <v>2471</v>
      </c>
      <c r="J844" s="550" t="s">
        <v>2898</v>
      </c>
      <c r="K844" s="551" t="s">
        <v>2899</v>
      </c>
      <c r="L844" s="95"/>
      <c r="M844" s="104"/>
      <c r="N844" s="137">
        <v>0</v>
      </c>
      <c r="O844" s="138">
        <v>0</v>
      </c>
      <c r="P844" s="138">
        <v>0</v>
      </c>
      <c r="Q844" s="138">
        <v>0</v>
      </c>
      <c r="R844" s="138">
        <v>0</v>
      </c>
      <c r="S844" s="139">
        <v>0</v>
      </c>
      <c r="T844" s="322">
        <f t="shared" si="186"/>
        <v>0</v>
      </c>
      <c r="U844" s="140" t="str">
        <f t="shared" si="187"/>
        <v/>
      </c>
      <c r="V844" s="322">
        <f t="shared" si="191"/>
        <v>0</v>
      </c>
      <c r="W844" s="140" t="str">
        <f t="shared" si="188"/>
        <v/>
      </c>
      <c r="X844" s="322">
        <f t="shared" si="189"/>
        <v>0</v>
      </c>
      <c r="Y844" s="140" t="str">
        <f t="shared" si="190"/>
        <v/>
      </c>
      <c r="Z844" s="519">
        <v>0</v>
      </c>
      <c r="AA844" s="111">
        <f t="shared" si="192"/>
        <v>0</v>
      </c>
      <c r="AB844" s="111">
        <f t="shared" si="193"/>
        <v>0</v>
      </c>
    </row>
    <row r="845" spans="1:28" ht="28.5" customHeight="1">
      <c r="A845" s="510" t="s">
        <v>5122</v>
      </c>
      <c r="B845" s="305" t="s">
        <v>3194</v>
      </c>
      <c r="C845" s="306" t="s">
        <v>3186</v>
      </c>
      <c r="D845" s="306" t="s">
        <v>2472</v>
      </c>
      <c r="E845" s="561" t="s">
        <v>5123</v>
      </c>
      <c r="F845" s="561" t="s">
        <v>5364</v>
      </c>
      <c r="G845" s="548" t="s">
        <v>4844</v>
      </c>
      <c r="H845" s="548" t="s">
        <v>5037</v>
      </c>
      <c r="I845" s="549" t="s">
        <v>2136</v>
      </c>
      <c r="J845" s="550" t="s">
        <v>2898</v>
      </c>
      <c r="K845" s="551" t="s">
        <v>2899</v>
      </c>
      <c r="L845" s="95"/>
      <c r="M845" s="104"/>
      <c r="N845" s="137">
        <v>0</v>
      </c>
      <c r="O845" s="138">
        <v>0</v>
      </c>
      <c r="P845" s="138">
        <v>0</v>
      </c>
      <c r="Q845" s="138">
        <v>0</v>
      </c>
      <c r="R845" s="138">
        <v>0</v>
      </c>
      <c r="S845" s="139">
        <v>0</v>
      </c>
      <c r="T845" s="322">
        <f t="shared" si="186"/>
        <v>0</v>
      </c>
      <c r="U845" s="140" t="str">
        <f t="shared" si="187"/>
        <v/>
      </c>
      <c r="V845" s="322">
        <f t="shared" si="191"/>
        <v>0</v>
      </c>
      <c r="W845" s="140" t="str">
        <f t="shared" si="188"/>
        <v/>
      </c>
      <c r="X845" s="322">
        <f t="shared" si="189"/>
        <v>0</v>
      </c>
      <c r="Y845" s="140" t="str">
        <f t="shared" si="190"/>
        <v/>
      </c>
      <c r="Z845" s="519">
        <v>0</v>
      </c>
      <c r="AA845" s="111">
        <f t="shared" si="192"/>
        <v>0</v>
      </c>
      <c r="AB845" s="111">
        <f t="shared" si="193"/>
        <v>0</v>
      </c>
    </row>
    <row r="846" spans="1:28" ht="26.25" customHeight="1">
      <c r="A846" s="115" t="s">
        <v>1900</v>
      </c>
      <c r="B846" s="124" t="s">
        <v>3194</v>
      </c>
      <c r="C846" s="101" t="s">
        <v>3187</v>
      </c>
      <c r="D846" s="101" t="s">
        <v>3185</v>
      </c>
      <c r="E846" s="534" t="s">
        <v>1901</v>
      </c>
      <c r="F846" s="580" t="s">
        <v>5365</v>
      </c>
      <c r="G846" s="555"/>
      <c r="H846" s="555"/>
      <c r="I846" s="556"/>
      <c r="J846" s="557"/>
      <c r="K846" s="558"/>
      <c r="L846" s="95"/>
      <c r="M846" s="104"/>
      <c r="N846" s="137">
        <v>0</v>
      </c>
      <c r="O846" s="138">
        <v>0</v>
      </c>
      <c r="P846" s="138">
        <v>0</v>
      </c>
      <c r="Q846" s="138">
        <v>0</v>
      </c>
      <c r="R846" s="138">
        <v>0</v>
      </c>
      <c r="S846" s="139">
        <v>0</v>
      </c>
      <c r="T846" s="322">
        <f t="shared" si="181"/>
        <v>0</v>
      </c>
      <c r="U846" s="140" t="str">
        <f t="shared" si="182"/>
        <v/>
      </c>
      <c r="V846" s="322">
        <f t="shared" si="191"/>
        <v>0</v>
      </c>
      <c r="W846" s="140" t="str">
        <f t="shared" si="183"/>
        <v/>
      </c>
      <c r="X846" s="322">
        <f t="shared" si="184"/>
        <v>0</v>
      </c>
      <c r="Y846" s="140" t="str">
        <f t="shared" si="185"/>
        <v/>
      </c>
      <c r="Z846" s="519">
        <v>0</v>
      </c>
      <c r="AA846" s="111">
        <f t="shared" si="192"/>
        <v>0</v>
      </c>
      <c r="AB846" s="111">
        <f t="shared" si="193"/>
        <v>0</v>
      </c>
    </row>
    <row r="847" spans="1:28" ht="26.25" customHeight="1">
      <c r="A847" s="513" t="s">
        <v>1902</v>
      </c>
      <c r="B847" s="313" t="s">
        <v>3194</v>
      </c>
      <c r="C847" s="314" t="s">
        <v>3187</v>
      </c>
      <c r="D847" s="314" t="s">
        <v>3183</v>
      </c>
      <c r="E847" s="563" t="s">
        <v>1901</v>
      </c>
      <c r="F847" s="582" t="s">
        <v>5365</v>
      </c>
      <c r="G847" s="564" t="s">
        <v>120</v>
      </c>
      <c r="H847" s="564" t="s">
        <v>3333</v>
      </c>
      <c r="I847" s="565" t="s">
        <v>201</v>
      </c>
      <c r="J847" s="566" t="s">
        <v>2900</v>
      </c>
      <c r="K847" s="567" t="s">
        <v>2901</v>
      </c>
      <c r="L847" s="95"/>
      <c r="M847" s="104"/>
      <c r="N847" s="137">
        <v>4707.179999999993</v>
      </c>
      <c r="O847" s="138">
        <v>0</v>
      </c>
      <c r="P847" s="138">
        <v>0</v>
      </c>
      <c r="Q847" s="138">
        <v>0</v>
      </c>
      <c r="R847" s="138">
        <v>0</v>
      </c>
      <c r="S847" s="139">
        <v>0</v>
      </c>
      <c r="T847" s="322">
        <f t="shared" ref="T847:T852" si="194">IF(N847="","",Q847-N847)</f>
        <v>-4707.179999999993</v>
      </c>
      <c r="U847" s="140">
        <f t="shared" ref="U847:U852" si="195">IF(N847=0,"",T847/N847)</f>
        <v>-1</v>
      </c>
      <c r="V847" s="322">
        <f t="shared" si="191"/>
        <v>0</v>
      </c>
      <c r="W847" s="140" t="str">
        <f t="shared" ref="W847:W852" si="196">IF(O847=0,"",V847/O847)</f>
        <v/>
      </c>
      <c r="X847" s="322">
        <f t="shared" ref="X847:X852" si="197">IF(P847="","",Q847-P847)</f>
        <v>0</v>
      </c>
      <c r="Y847" s="140" t="str">
        <f t="shared" ref="Y847:Y852" si="198">IF(P847=0,"",X847/P847)</f>
        <v/>
      </c>
      <c r="Z847" s="519">
        <v>0</v>
      </c>
      <c r="AA847" s="111">
        <f t="shared" si="192"/>
        <v>0</v>
      </c>
      <c r="AB847" s="111">
        <f t="shared" si="193"/>
        <v>0</v>
      </c>
    </row>
    <row r="848" spans="1:28" ht="28.5" customHeight="1">
      <c r="A848" s="510" t="s">
        <v>5124</v>
      </c>
      <c r="B848" s="305" t="s">
        <v>3194</v>
      </c>
      <c r="C848" s="306" t="s">
        <v>3187</v>
      </c>
      <c r="D848" s="306" t="s">
        <v>2833</v>
      </c>
      <c r="E848" s="561" t="s">
        <v>5039</v>
      </c>
      <c r="F848" s="561" t="s">
        <v>5366</v>
      </c>
      <c r="G848" s="548" t="s">
        <v>4847</v>
      </c>
      <c r="H848" s="548" t="s">
        <v>5040</v>
      </c>
      <c r="I848" s="549" t="s">
        <v>3108</v>
      </c>
      <c r="J848" s="550" t="s">
        <v>2900</v>
      </c>
      <c r="K848" s="551" t="s">
        <v>2901</v>
      </c>
      <c r="L848" s="95"/>
      <c r="M848" s="104"/>
      <c r="N848" s="137">
        <v>0</v>
      </c>
      <c r="O848" s="138">
        <v>0</v>
      </c>
      <c r="P848" s="138">
        <v>0</v>
      </c>
      <c r="Q848" s="138">
        <v>0</v>
      </c>
      <c r="R848" s="138">
        <v>0</v>
      </c>
      <c r="S848" s="139">
        <v>0</v>
      </c>
      <c r="T848" s="322">
        <f t="shared" si="194"/>
        <v>0</v>
      </c>
      <c r="U848" s="140" t="str">
        <f t="shared" si="195"/>
        <v/>
      </c>
      <c r="V848" s="322">
        <f t="shared" si="191"/>
        <v>0</v>
      </c>
      <c r="W848" s="140" t="str">
        <f t="shared" si="196"/>
        <v/>
      </c>
      <c r="X848" s="322">
        <f t="shared" si="197"/>
        <v>0</v>
      </c>
      <c r="Y848" s="140" t="str">
        <f t="shared" si="198"/>
        <v/>
      </c>
      <c r="Z848" s="519">
        <v>0</v>
      </c>
      <c r="AA848" s="111">
        <f t="shared" si="192"/>
        <v>0</v>
      </c>
      <c r="AB848" s="111">
        <f t="shared" si="193"/>
        <v>0</v>
      </c>
    </row>
    <row r="849" spans="1:28" ht="38.25" customHeight="1">
      <c r="A849" s="510" t="s">
        <v>5125</v>
      </c>
      <c r="B849" s="305" t="s">
        <v>3194</v>
      </c>
      <c r="C849" s="306" t="s">
        <v>3187</v>
      </c>
      <c r="D849" s="306" t="s">
        <v>1378</v>
      </c>
      <c r="E849" s="561" t="s">
        <v>5225</v>
      </c>
      <c r="F849" s="561" t="s">
        <v>5367</v>
      </c>
      <c r="G849" s="548" t="s">
        <v>4849</v>
      </c>
      <c r="H849" s="548" t="s">
        <v>5042</v>
      </c>
      <c r="I849" s="549" t="s">
        <v>5043</v>
      </c>
      <c r="J849" s="550" t="s">
        <v>2900</v>
      </c>
      <c r="K849" s="551" t="s">
        <v>2901</v>
      </c>
      <c r="L849" s="95"/>
      <c r="M849" s="104"/>
      <c r="N849" s="137">
        <v>0</v>
      </c>
      <c r="O849" s="138">
        <v>0</v>
      </c>
      <c r="P849" s="138">
        <v>0</v>
      </c>
      <c r="Q849" s="138">
        <v>0</v>
      </c>
      <c r="R849" s="138">
        <v>0</v>
      </c>
      <c r="S849" s="139">
        <v>0</v>
      </c>
      <c r="T849" s="322">
        <f t="shared" si="194"/>
        <v>0</v>
      </c>
      <c r="U849" s="140" t="str">
        <f t="shared" si="195"/>
        <v/>
      </c>
      <c r="V849" s="322">
        <f t="shared" si="191"/>
        <v>0</v>
      </c>
      <c r="W849" s="140" t="str">
        <f t="shared" si="196"/>
        <v/>
      </c>
      <c r="X849" s="322">
        <f t="shared" si="197"/>
        <v>0</v>
      </c>
      <c r="Y849" s="140" t="str">
        <f t="shared" si="198"/>
        <v/>
      </c>
      <c r="Z849" s="519">
        <v>0</v>
      </c>
      <c r="AA849" s="111">
        <f t="shared" si="192"/>
        <v>0</v>
      </c>
      <c r="AB849" s="111">
        <f t="shared" si="193"/>
        <v>0</v>
      </c>
    </row>
    <row r="850" spans="1:28" ht="28.5" customHeight="1">
      <c r="A850" s="510" t="s">
        <v>5126</v>
      </c>
      <c r="B850" s="305" t="s">
        <v>3194</v>
      </c>
      <c r="C850" s="306" t="s">
        <v>3187</v>
      </c>
      <c r="D850" s="306" t="s">
        <v>1379</v>
      </c>
      <c r="E850" s="561" t="s">
        <v>5226</v>
      </c>
      <c r="F850" s="561" t="s">
        <v>5368</v>
      </c>
      <c r="G850" s="548" t="s">
        <v>4851</v>
      </c>
      <c r="H850" s="548" t="s">
        <v>5045</v>
      </c>
      <c r="I850" s="549" t="s">
        <v>2537</v>
      </c>
      <c r="J850" s="550" t="s">
        <v>2900</v>
      </c>
      <c r="K850" s="551" t="s">
        <v>2901</v>
      </c>
      <c r="L850" s="95"/>
      <c r="M850" s="104"/>
      <c r="N850" s="137">
        <v>0</v>
      </c>
      <c r="O850" s="138">
        <v>0</v>
      </c>
      <c r="P850" s="138">
        <v>0</v>
      </c>
      <c r="Q850" s="138">
        <v>0</v>
      </c>
      <c r="R850" s="138">
        <v>0</v>
      </c>
      <c r="S850" s="139">
        <v>0</v>
      </c>
      <c r="T850" s="322">
        <f t="shared" si="194"/>
        <v>0</v>
      </c>
      <c r="U850" s="140" t="str">
        <f t="shared" si="195"/>
        <v/>
      </c>
      <c r="V850" s="322">
        <f t="shared" si="191"/>
        <v>0</v>
      </c>
      <c r="W850" s="140" t="str">
        <f t="shared" si="196"/>
        <v/>
      </c>
      <c r="X850" s="322">
        <f t="shared" si="197"/>
        <v>0</v>
      </c>
      <c r="Y850" s="140" t="str">
        <f t="shared" si="198"/>
        <v/>
      </c>
      <c r="Z850" s="519">
        <v>0</v>
      </c>
      <c r="AA850" s="111">
        <f t="shared" si="192"/>
        <v>0</v>
      </c>
      <c r="AB850" s="111">
        <f t="shared" si="193"/>
        <v>0</v>
      </c>
    </row>
    <row r="851" spans="1:28" ht="35.25" customHeight="1">
      <c r="A851" s="510" t="s">
        <v>5127</v>
      </c>
      <c r="B851" s="305" t="s">
        <v>3194</v>
      </c>
      <c r="C851" s="306" t="s">
        <v>3187</v>
      </c>
      <c r="D851" s="306" t="s">
        <v>2467</v>
      </c>
      <c r="E851" s="561" t="s">
        <v>5047</v>
      </c>
      <c r="F851" s="561" t="s">
        <v>5369</v>
      </c>
      <c r="G851" s="548" t="s">
        <v>4853</v>
      </c>
      <c r="H851" s="548" t="s">
        <v>5048</v>
      </c>
      <c r="I851" s="549" t="s">
        <v>2548</v>
      </c>
      <c r="J851" s="550" t="s">
        <v>2900</v>
      </c>
      <c r="K851" s="551" t="s">
        <v>2901</v>
      </c>
      <c r="L851" s="95"/>
      <c r="M851" s="104"/>
      <c r="N851" s="137">
        <v>0</v>
      </c>
      <c r="O851" s="138">
        <v>0</v>
      </c>
      <c r="P851" s="138">
        <v>0</v>
      </c>
      <c r="Q851" s="138">
        <v>0</v>
      </c>
      <c r="R851" s="138">
        <v>0</v>
      </c>
      <c r="S851" s="139">
        <v>0</v>
      </c>
      <c r="T851" s="322">
        <f t="shared" si="194"/>
        <v>0</v>
      </c>
      <c r="U851" s="140" t="str">
        <f t="shared" si="195"/>
        <v/>
      </c>
      <c r="V851" s="322">
        <f t="shared" si="191"/>
        <v>0</v>
      </c>
      <c r="W851" s="140" t="str">
        <f t="shared" si="196"/>
        <v/>
      </c>
      <c r="X851" s="322">
        <f t="shared" si="197"/>
        <v>0</v>
      </c>
      <c r="Y851" s="140" t="str">
        <f t="shared" si="198"/>
        <v/>
      </c>
      <c r="Z851" s="519">
        <v>0</v>
      </c>
      <c r="AA851" s="111">
        <f t="shared" si="192"/>
        <v>0</v>
      </c>
      <c r="AB851" s="111">
        <f t="shared" si="193"/>
        <v>0</v>
      </c>
    </row>
    <row r="852" spans="1:28" ht="28.5" customHeight="1">
      <c r="A852" s="510" t="s">
        <v>5128</v>
      </c>
      <c r="B852" s="305" t="s">
        <v>3194</v>
      </c>
      <c r="C852" s="306" t="s">
        <v>3187</v>
      </c>
      <c r="D852" s="306" t="s">
        <v>2138</v>
      </c>
      <c r="E852" s="561" t="s">
        <v>5050</v>
      </c>
      <c r="F852" s="561" t="s">
        <v>5370</v>
      </c>
      <c r="G852" s="548" t="s">
        <v>4855</v>
      </c>
      <c r="H852" s="548" t="s">
        <v>5051</v>
      </c>
      <c r="I852" s="549" t="s">
        <v>2559</v>
      </c>
      <c r="J852" s="550" t="s">
        <v>2900</v>
      </c>
      <c r="K852" s="551" t="s">
        <v>2901</v>
      </c>
      <c r="L852" s="95"/>
      <c r="M852" s="104"/>
      <c r="N852" s="137">
        <v>0</v>
      </c>
      <c r="O852" s="138">
        <v>0</v>
      </c>
      <c r="P852" s="138">
        <v>0</v>
      </c>
      <c r="Q852" s="138">
        <v>0</v>
      </c>
      <c r="R852" s="138">
        <v>0</v>
      </c>
      <c r="S852" s="139">
        <v>0</v>
      </c>
      <c r="T852" s="322">
        <f t="shared" si="194"/>
        <v>0</v>
      </c>
      <c r="U852" s="140" t="str">
        <f t="shared" si="195"/>
        <v/>
      </c>
      <c r="V852" s="322">
        <f t="shared" si="191"/>
        <v>0</v>
      </c>
      <c r="W852" s="140" t="str">
        <f t="shared" si="196"/>
        <v/>
      </c>
      <c r="X852" s="322">
        <f t="shared" si="197"/>
        <v>0</v>
      </c>
      <c r="Y852" s="140" t="str">
        <f t="shared" si="198"/>
        <v/>
      </c>
      <c r="Z852" s="519">
        <v>0</v>
      </c>
      <c r="AA852" s="111">
        <f t="shared" si="192"/>
        <v>0</v>
      </c>
      <c r="AB852" s="111">
        <f t="shared" si="193"/>
        <v>0</v>
      </c>
    </row>
    <row r="853" spans="1:28" ht="28.5" customHeight="1">
      <c r="A853" s="510" t="s">
        <v>5129</v>
      </c>
      <c r="B853" s="305" t="s">
        <v>3194</v>
      </c>
      <c r="C853" s="306" t="s">
        <v>3187</v>
      </c>
      <c r="D853" s="306" t="s">
        <v>2468</v>
      </c>
      <c r="E853" s="561" t="s">
        <v>5227</v>
      </c>
      <c r="F853" s="561" t="s">
        <v>5371</v>
      </c>
      <c r="G853" s="548" t="s">
        <v>4857</v>
      </c>
      <c r="H853" s="548" t="s">
        <v>5053</v>
      </c>
      <c r="I853" s="549" t="s">
        <v>3171</v>
      </c>
      <c r="J853" s="550" t="s">
        <v>2900</v>
      </c>
      <c r="K853" s="551" t="s">
        <v>2901</v>
      </c>
      <c r="L853" s="95"/>
      <c r="M853" s="104"/>
      <c r="N853" s="137">
        <v>0</v>
      </c>
      <c r="O853" s="138">
        <v>0</v>
      </c>
      <c r="P853" s="138">
        <v>0</v>
      </c>
      <c r="Q853" s="138">
        <v>0</v>
      </c>
      <c r="R853" s="138">
        <v>0</v>
      </c>
      <c r="S853" s="139">
        <v>0</v>
      </c>
      <c r="T853" s="322">
        <f t="shared" si="181"/>
        <v>0</v>
      </c>
      <c r="U853" s="140" t="str">
        <f t="shared" si="182"/>
        <v/>
      </c>
      <c r="V853" s="322">
        <f t="shared" si="191"/>
        <v>0</v>
      </c>
      <c r="W853" s="140" t="str">
        <f t="shared" si="183"/>
        <v/>
      </c>
      <c r="X853" s="322">
        <f t="shared" si="184"/>
        <v>0</v>
      </c>
      <c r="Y853" s="140" t="str">
        <f t="shared" si="185"/>
        <v/>
      </c>
      <c r="Z853" s="519">
        <v>0</v>
      </c>
      <c r="AA853" s="111">
        <f t="shared" si="192"/>
        <v>0</v>
      </c>
      <c r="AB853" s="111">
        <f t="shared" si="193"/>
        <v>0</v>
      </c>
    </row>
    <row r="854" spans="1:28">
      <c r="A854" s="114" t="s">
        <v>442</v>
      </c>
      <c r="B854" s="125"/>
      <c r="C854" s="97"/>
      <c r="D854" s="97"/>
      <c r="E854" s="559"/>
      <c r="F854" s="559"/>
      <c r="G854" s="555"/>
      <c r="H854" s="555"/>
      <c r="I854" s="556"/>
      <c r="J854" s="557"/>
      <c r="K854" s="558"/>
      <c r="L854" s="95"/>
      <c r="M854" s="104"/>
      <c r="N854" s="137"/>
      <c r="O854" s="138">
        <v>0</v>
      </c>
      <c r="P854" s="138">
        <v>0</v>
      </c>
      <c r="Q854" s="138">
        <v>0</v>
      </c>
      <c r="R854" s="138">
        <v>0</v>
      </c>
      <c r="S854" s="139">
        <v>0</v>
      </c>
      <c r="T854" s="322" t="str">
        <f t="shared" si="181"/>
        <v/>
      </c>
      <c r="U854" s="140" t="str">
        <f t="shared" si="182"/>
        <v/>
      </c>
      <c r="V854" s="322">
        <f t="shared" si="191"/>
        <v>0</v>
      </c>
      <c r="W854" s="140" t="str">
        <f t="shared" si="183"/>
        <v/>
      </c>
      <c r="X854" s="322">
        <f t="shared" si="184"/>
        <v>0</v>
      </c>
      <c r="Y854" s="140" t="str">
        <f t="shared" si="185"/>
        <v/>
      </c>
      <c r="Z854" s="519">
        <v>0</v>
      </c>
      <c r="AA854" s="111">
        <f t="shared" si="192"/>
        <v>0</v>
      </c>
      <c r="AB854" s="111">
        <f t="shared" si="193"/>
        <v>0</v>
      </c>
    </row>
    <row r="855" spans="1:28" s="151" customFormat="1" ht="15">
      <c r="A855" s="149" t="s">
        <v>442</v>
      </c>
      <c r="B855" s="162"/>
      <c r="C855" s="163"/>
      <c r="D855" s="163"/>
      <c r="E855" s="523" t="s">
        <v>5406</v>
      </c>
      <c r="F855" s="523" t="s">
        <v>5407</v>
      </c>
      <c r="G855" s="525"/>
      <c r="H855" s="525"/>
      <c r="I855" s="526"/>
      <c r="J855" s="527"/>
      <c r="K855" s="528"/>
      <c r="L855" s="95"/>
      <c r="M855" s="150"/>
      <c r="N855" s="137"/>
      <c r="O855" s="138">
        <v>0</v>
      </c>
      <c r="P855" s="310">
        <v>0</v>
      </c>
      <c r="Q855" s="138">
        <v>0</v>
      </c>
      <c r="R855" s="138">
        <v>0</v>
      </c>
      <c r="S855" s="139">
        <v>0</v>
      </c>
      <c r="T855" s="323" t="str">
        <f t="shared" si="181"/>
        <v/>
      </c>
      <c r="U855" s="312" t="str">
        <f t="shared" si="182"/>
        <v/>
      </c>
      <c r="V855" s="323">
        <f t="shared" si="191"/>
        <v>0</v>
      </c>
      <c r="W855" s="312" t="str">
        <f t="shared" si="183"/>
        <v/>
      </c>
      <c r="X855" s="323">
        <f t="shared" si="184"/>
        <v>0</v>
      </c>
      <c r="Y855" s="312" t="str">
        <f t="shared" si="185"/>
        <v/>
      </c>
      <c r="Z855" s="519">
        <v>0</v>
      </c>
      <c r="AA855" s="111">
        <f t="shared" si="192"/>
        <v>0</v>
      </c>
      <c r="AB855" s="111">
        <f t="shared" si="193"/>
        <v>0</v>
      </c>
    </row>
    <row r="856" spans="1:28" ht="25.5" customHeight="1">
      <c r="A856" s="113" t="s">
        <v>443</v>
      </c>
      <c r="B856" s="135" t="s">
        <v>2629</v>
      </c>
      <c r="C856" s="136" t="s">
        <v>3184</v>
      </c>
      <c r="D856" s="136" t="s">
        <v>3185</v>
      </c>
      <c r="E856" s="529" t="s">
        <v>445</v>
      </c>
      <c r="F856" s="529" t="s">
        <v>444</v>
      </c>
      <c r="G856" s="530"/>
      <c r="H856" s="530"/>
      <c r="I856" s="531"/>
      <c r="J856" s="532"/>
      <c r="K856" s="533"/>
      <c r="L856" s="95"/>
      <c r="M856" s="147"/>
      <c r="N856" s="137"/>
      <c r="O856" s="310">
        <v>0</v>
      </c>
      <c r="P856" s="138">
        <v>0</v>
      </c>
      <c r="Q856" s="310">
        <v>0</v>
      </c>
      <c r="R856" s="310">
        <v>0</v>
      </c>
      <c r="S856" s="311">
        <v>0</v>
      </c>
      <c r="T856" s="322" t="str">
        <f t="shared" si="181"/>
        <v/>
      </c>
      <c r="U856" s="140" t="str">
        <f t="shared" si="182"/>
        <v/>
      </c>
      <c r="V856" s="322">
        <f t="shared" si="191"/>
        <v>0</v>
      </c>
      <c r="W856" s="140" t="str">
        <f t="shared" si="183"/>
        <v/>
      </c>
      <c r="X856" s="322">
        <f t="shared" si="184"/>
        <v>0</v>
      </c>
      <c r="Y856" s="140" t="str">
        <f t="shared" si="185"/>
        <v/>
      </c>
      <c r="Z856" s="519">
        <v>0</v>
      </c>
      <c r="AA856" s="111">
        <f t="shared" si="192"/>
        <v>0</v>
      </c>
      <c r="AB856" s="111">
        <f t="shared" si="193"/>
        <v>0</v>
      </c>
    </row>
    <row r="857" spans="1:28" ht="25.5" customHeight="1">
      <c r="A857" s="115" t="s">
        <v>446</v>
      </c>
      <c r="B857" s="124" t="s">
        <v>2629</v>
      </c>
      <c r="C857" s="101" t="s">
        <v>3186</v>
      </c>
      <c r="D857" s="101" t="s">
        <v>3185</v>
      </c>
      <c r="E857" s="554" t="s">
        <v>448</v>
      </c>
      <c r="F857" s="534" t="s">
        <v>447</v>
      </c>
      <c r="G857" s="555"/>
      <c r="H857" s="555"/>
      <c r="I857" s="556"/>
      <c r="J857" s="557"/>
      <c r="K857" s="558"/>
      <c r="L857" s="95"/>
      <c r="M857" s="104"/>
      <c r="N857" s="137"/>
      <c r="O857" s="138">
        <v>0</v>
      </c>
      <c r="P857" s="138">
        <v>0</v>
      </c>
      <c r="Q857" s="138">
        <v>0</v>
      </c>
      <c r="R857" s="138">
        <v>0</v>
      </c>
      <c r="S857" s="139">
        <v>0</v>
      </c>
      <c r="T857" s="322" t="str">
        <f t="shared" si="181"/>
        <v/>
      </c>
      <c r="U857" s="140" t="str">
        <f t="shared" si="182"/>
        <v/>
      </c>
      <c r="V857" s="322">
        <f t="shared" si="191"/>
        <v>0</v>
      </c>
      <c r="W857" s="140" t="str">
        <f t="shared" si="183"/>
        <v/>
      </c>
      <c r="X857" s="322">
        <f t="shared" si="184"/>
        <v>0</v>
      </c>
      <c r="Y857" s="140" t="str">
        <f t="shared" si="185"/>
        <v/>
      </c>
      <c r="Z857" s="519">
        <v>0</v>
      </c>
      <c r="AA857" s="111">
        <f t="shared" si="192"/>
        <v>0</v>
      </c>
      <c r="AB857" s="111">
        <f t="shared" si="193"/>
        <v>0</v>
      </c>
    </row>
    <row r="858" spans="1:28" ht="25.5" customHeight="1">
      <c r="A858" s="114" t="s">
        <v>449</v>
      </c>
      <c r="B858" s="125" t="s">
        <v>2629</v>
      </c>
      <c r="C858" s="97" t="s">
        <v>3186</v>
      </c>
      <c r="D858" s="97" t="s">
        <v>3183</v>
      </c>
      <c r="E858" s="559" t="s">
        <v>448</v>
      </c>
      <c r="F858" s="540" t="s">
        <v>447</v>
      </c>
      <c r="G858" s="512" t="s">
        <v>4657</v>
      </c>
      <c r="H858" s="512" t="s">
        <v>5130</v>
      </c>
      <c r="I858" s="541" t="s">
        <v>5131</v>
      </c>
      <c r="J858" s="557" t="s">
        <v>451</v>
      </c>
      <c r="K858" s="558" t="s">
        <v>2852</v>
      </c>
      <c r="L858" s="95"/>
      <c r="M858" s="104"/>
      <c r="N858" s="137">
        <v>1155908518.29</v>
      </c>
      <c r="O858" s="138">
        <v>1178768705</v>
      </c>
      <c r="P858" s="317">
        <v>1204976759.6500001</v>
      </c>
      <c r="Q858" s="317">
        <v>1194302141.27</v>
      </c>
      <c r="R858" s="317">
        <v>1234506900</v>
      </c>
      <c r="S858" s="317">
        <v>1265096897.76</v>
      </c>
      <c r="T858" s="322">
        <f t="shared" si="181"/>
        <v>38393622.980000019</v>
      </c>
      <c r="U858" s="140">
        <f t="shared" si="182"/>
        <v>3.3215105151052825E-2</v>
      </c>
      <c r="V858" s="322">
        <f t="shared" si="191"/>
        <v>15533436.269999981</v>
      </c>
      <c r="W858" s="140">
        <f t="shared" si="183"/>
        <v>1.3177679560130485E-2</v>
      </c>
      <c r="X858" s="322">
        <f t="shared" si="184"/>
        <v>-10674618.380000114</v>
      </c>
      <c r="Y858" s="140">
        <f t="shared" si="185"/>
        <v>-8.8587753203644235E-3</v>
      </c>
      <c r="Z858" s="519">
        <v>892986528.75</v>
      </c>
      <c r="AA858" s="111">
        <f t="shared" si="192"/>
        <v>1190648705</v>
      </c>
      <c r="AB858" s="111">
        <f t="shared" si="193"/>
        <v>14328054.650000095</v>
      </c>
    </row>
    <row r="859" spans="1:28" ht="27.75" customHeight="1">
      <c r="A859" s="510" t="s">
        <v>5132</v>
      </c>
      <c r="B859" s="305" t="s">
        <v>2629</v>
      </c>
      <c r="C859" s="306" t="s">
        <v>3186</v>
      </c>
      <c r="D859" s="306" t="s">
        <v>1378</v>
      </c>
      <c r="E859" s="561" t="s">
        <v>5133</v>
      </c>
      <c r="F859" s="561" t="s">
        <v>5233</v>
      </c>
      <c r="G859" s="548" t="s">
        <v>4659</v>
      </c>
      <c r="H859" s="548" t="s">
        <v>5134</v>
      </c>
      <c r="I859" s="549" t="s">
        <v>5135</v>
      </c>
      <c r="J859" s="550" t="s">
        <v>451</v>
      </c>
      <c r="K859" s="551" t="s">
        <v>2852</v>
      </c>
      <c r="L859" s="95"/>
      <c r="M859" s="104"/>
      <c r="N859" s="137">
        <v>0</v>
      </c>
      <c r="O859" s="138">
        <v>0</v>
      </c>
      <c r="P859" s="317">
        <v>2477000</v>
      </c>
      <c r="Q859" s="317">
        <f>4903000+600000</f>
        <v>5503000</v>
      </c>
      <c r="R859" s="317">
        <f>700000+600000</f>
        <v>1300000</v>
      </c>
      <c r="S859" s="317">
        <f>700000+600000</f>
        <v>1300000</v>
      </c>
      <c r="T859" s="322">
        <f t="shared" ref="T859:T861" si="199">IF(N859="","",Q859-N859)</f>
        <v>5503000</v>
      </c>
      <c r="U859" s="140" t="str">
        <f t="shared" ref="U859:U861" si="200">IF(N859=0,"",T859/N859)</f>
        <v/>
      </c>
      <c r="V859" s="322">
        <f t="shared" si="191"/>
        <v>5503000</v>
      </c>
      <c r="W859" s="140" t="str">
        <f t="shared" ref="W859:W861" si="201">IF(O859=0,"",V859/O859)</f>
        <v/>
      </c>
      <c r="X859" s="322">
        <f t="shared" ref="X859:X861" si="202">IF(P859="","",Q859-P859)</f>
        <v>3026000</v>
      </c>
      <c r="Y859" s="140">
        <f t="shared" ref="Y859:Y861" si="203">IF(P859=0,"",X859/P859)</f>
        <v>1.2216390795316916</v>
      </c>
      <c r="Z859" s="519">
        <v>0</v>
      </c>
      <c r="AA859" s="111">
        <f t="shared" si="192"/>
        <v>0</v>
      </c>
      <c r="AB859" s="111">
        <f t="shared" si="193"/>
        <v>2477000</v>
      </c>
    </row>
    <row r="860" spans="1:28" ht="27.75" customHeight="1">
      <c r="A860" s="510" t="s">
        <v>5136</v>
      </c>
      <c r="B860" s="305" t="s">
        <v>2629</v>
      </c>
      <c r="C860" s="306" t="s">
        <v>3186</v>
      </c>
      <c r="D860" s="306" t="s">
        <v>2467</v>
      </c>
      <c r="E860" s="561" t="s">
        <v>5137</v>
      </c>
      <c r="F860" s="561" t="s">
        <v>5234</v>
      </c>
      <c r="G860" s="548" t="s">
        <v>4663</v>
      </c>
      <c r="H860" s="548" t="s">
        <v>5138</v>
      </c>
      <c r="I860" s="549" t="s">
        <v>5139</v>
      </c>
      <c r="J860" s="550" t="s">
        <v>451</v>
      </c>
      <c r="K860" s="551" t="s">
        <v>2852</v>
      </c>
      <c r="L860" s="95"/>
      <c r="M860" s="104"/>
      <c r="N860" s="137">
        <v>0</v>
      </c>
      <c r="O860" s="138">
        <v>0</v>
      </c>
      <c r="P860" s="138">
        <v>0</v>
      </c>
      <c r="Q860" s="138">
        <v>0</v>
      </c>
      <c r="R860" s="138">
        <v>0</v>
      </c>
      <c r="S860" s="139">
        <v>0</v>
      </c>
      <c r="T860" s="322">
        <f t="shared" si="199"/>
        <v>0</v>
      </c>
      <c r="U860" s="140" t="str">
        <f t="shared" si="200"/>
        <v/>
      </c>
      <c r="V860" s="322">
        <f t="shared" si="191"/>
        <v>0</v>
      </c>
      <c r="W860" s="140" t="str">
        <f t="shared" si="201"/>
        <v/>
      </c>
      <c r="X860" s="322">
        <f t="shared" si="202"/>
        <v>0</v>
      </c>
      <c r="Y860" s="140" t="str">
        <f t="shared" si="203"/>
        <v/>
      </c>
      <c r="Z860" s="519">
        <v>0</v>
      </c>
      <c r="AA860" s="111">
        <f t="shared" si="192"/>
        <v>0</v>
      </c>
      <c r="AB860" s="111">
        <f t="shared" si="193"/>
        <v>0</v>
      </c>
    </row>
    <row r="861" spans="1:28" ht="27.75" customHeight="1">
      <c r="A861" s="510" t="s">
        <v>5140</v>
      </c>
      <c r="B861" s="305" t="s">
        <v>2629</v>
      </c>
      <c r="C861" s="306" t="s">
        <v>3186</v>
      </c>
      <c r="D861" s="306" t="s">
        <v>2468</v>
      </c>
      <c r="E861" s="561" t="s">
        <v>5141</v>
      </c>
      <c r="F861" s="561" t="s">
        <v>5235</v>
      </c>
      <c r="G861" s="548" t="s">
        <v>4665</v>
      </c>
      <c r="H861" s="548" t="s">
        <v>5142</v>
      </c>
      <c r="I861" s="549" t="s">
        <v>5143</v>
      </c>
      <c r="J861" s="550" t="s">
        <v>451</v>
      </c>
      <c r="K861" s="551" t="s">
        <v>2852</v>
      </c>
      <c r="L861" s="95"/>
      <c r="M861" s="104"/>
      <c r="N861" s="137">
        <v>0</v>
      </c>
      <c r="O861" s="138">
        <v>0</v>
      </c>
      <c r="P861" s="138">
        <v>0</v>
      </c>
      <c r="Q861" s="138">
        <v>0</v>
      </c>
      <c r="R861" s="138">
        <v>0</v>
      </c>
      <c r="S861" s="139">
        <v>0</v>
      </c>
      <c r="T861" s="322">
        <f t="shared" si="199"/>
        <v>0</v>
      </c>
      <c r="U861" s="140" t="str">
        <f t="shared" si="200"/>
        <v/>
      </c>
      <c r="V861" s="322">
        <f t="shared" si="191"/>
        <v>0</v>
      </c>
      <c r="W861" s="140" t="str">
        <f t="shared" si="201"/>
        <v/>
      </c>
      <c r="X861" s="322">
        <f t="shared" si="202"/>
        <v>0</v>
      </c>
      <c r="Y861" s="140" t="str">
        <f t="shared" si="203"/>
        <v/>
      </c>
      <c r="Z861" s="519">
        <v>0</v>
      </c>
      <c r="AA861" s="111">
        <f t="shared" si="192"/>
        <v>0</v>
      </c>
      <c r="AB861" s="111">
        <f t="shared" si="193"/>
        <v>0</v>
      </c>
    </row>
    <row r="862" spans="1:28" ht="36.75" customHeight="1">
      <c r="A862" s="114" t="s">
        <v>2669</v>
      </c>
      <c r="B862" s="125" t="s">
        <v>2629</v>
      </c>
      <c r="C862" s="97" t="s">
        <v>3186</v>
      </c>
      <c r="D862" s="97" t="s">
        <v>3193</v>
      </c>
      <c r="E862" s="559" t="s">
        <v>5577</v>
      </c>
      <c r="F862" s="540" t="s">
        <v>5372</v>
      </c>
      <c r="G862" s="511" t="s">
        <v>305</v>
      </c>
      <c r="H862" s="511" t="s">
        <v>3020</v>
      </c>
      <c r="I862" s="544" t="s">
        <v>3021</v>
      </c>
      <c r="J862" s="542" t="s">
        <v>2857</v>
      </c>
      <c r="K862" s="543" t="s">
        <v>2859</v>
      </c>
      <c r="L862" s="95"/>
      <c r="M862" s="104"/>
      <c r="N862" s="137">
        <v>0</v>
      </c>
      <c r="O862" s="138">
        <v>0</v>
      </c>
      <c r="P862" s="138">
        <v>0</v>
      </c>
      <c r="Q862" s="138">
        <v>0</v>
      </c>
      <c r="R862" s="138">
        <v>0</v>
      </c>
      <c r="S862" s="139">
        <v>0</v>
      </c>
      <c r="T862" s="322">
        <f t="shared" si="181"/>
        <v>0</v>
      </c>
      <c r="U862" s="140" t="str">
        <f t="shared" si="182"/>
        <v/>
      </c>
      <c r="V862" s="322">
        <f t="shared" si="191"/>
        <v>0</v>
      </c>
      <c r="W862" s="140" t="str">
        <f t="shared" si="183"/>
        <v/>
      </c>
      <c r="X862" s="322">
        <f t="shared" si="184"/>
        <v>0</v>
      </c>
      <c r="Y862" s="140" t="str">
        <f t="shared" si="185"/>
        <v/>
      </c>
      <c r="Z862" s="519">
        <v>0</v>
      </c>
      <c r="AA862" s="111">
        <f t="shared" si="192"/>
        <v>0</v>
      </c>
      <c r="AB862" s="111">
        <f t="shared" si="193"/>
        <v>0</v>
      </c>
    </row>
    <row r="863" spans="1:28" ht="25.5" customHeight="1">
      <c r="A863" s="115" t="s">
        <v>452</v>
      </c>
      <c r="B863" s="124" t="s">
        <v>2629</v>
      </c>
      <c r="C863" s="101" t="s">
        <v>3187</v>
      </c>
      <c r="D863" s="101" t="s">
        <v>3185</v>
      </c>
      <c r="E863" s="554" t="s">
        <v>454</v>
      </c>
      <c r="F863" s="534" t="s">
        <v>453</v>
      </c>
      <c r="G863" s="555"/>
      <c r="H863" s="555"/>
      <c r="I863" s="556"/>
      <c r="J863" s="557"/>
      <c r="K863" s="558"/>
      <c r="L863" s="95"/>
      <c r="M863" s="104"/>
      <c r="N863" s="137">
        <v>0</v>
      </c>
      <c r="O863" s="138">
        <v>0</v>
      </c>
      <c r="P863" s="138">
        <v>0</v>
      </c>
      <c r="Q863" s="138">
        <v>0</v>
      </c>
      <c r="R863" s="138">
        <v>0</v>
      </c>
      <c r="S863" s="139">
        <v>0</v>
      </c>
      <c r="T863" s="322">
        <f t="shared" si="181"/>
        <v>0</v>
      </c>
      <c r="U863" s="140" t="str">
        <f t="shared" si="182"/>
        <v/>
      </c>
      <c r="V863" s="322">
        <f t="shared" si="191"/>
        <v>0</v>
      </c>
      <c r="W863" s="140" t="str">
        <f t="shared" si="183"/>
        <v/>
      </c>
      <c r="X863" s="322">
        <f t="shared" si="184"/>
        <v>0</v>
      </c>
      <c r="Y863" s="140" t="str">
        <f t="shared" si="185"/>
        <v/>
      </c>
      <c r="Z863" s="519">
        <v>0</v>
      </c>
      <c r="AA863" s="111">
        <f t="shared" si="192"/>
        <v>0</v>
      </c>
      <c r="AB863" s="111">
        <f t="shared" si="193"/>
        <v>0</v>
      </c>
    </row>
    <row r="864" spans="1:28" ht="25.5" customHeight="1">
      <c r="A864" s="114" t="s">
        <v>455</v>
      </c>
      <c r="B864" s="125" t="s">
        <v>2629</v>
      </c>
      <c r="C864" s="97" t="s">
        <v>3187</v>
      </c>
      <c r="D864" s="97" t="s">
        <v>3183</v>
      </c>
      <c r="E864" s="559" t="s">
        <v>3022</v>
      </c>
      <c r="F864" s="540" t="s">
        <v>3023</v>
      </c>
      <c r="G864" s="555" t="s">
        <v>297</v>
      </c>
      <c r="H864" s="555" t="s">
        <v>3024</v>
      </c>
      <c r="I864" s="556" t="s">
        <v>3025</v>
      </c>
      <c r="J864" s="557" t="s">
        <v>451</v>
      </c>
      <c r="K864" s="558" t="s">
        <v>2852</v>
      </c>
      <c r="L864" s="95"/>
      <c r="M864" s="104"/>
      <c r="N864" s="137">
        <v>3498085.5300000003</v>
      </c>
      <c r="O864" s="138">
        <v>3740000</v>
      </c>
      <c r="P864" s="317">
        <v>1700000</v>
      </c>
      <c r="Q864" s="317">
        <v>1777500</v>
      </c>
      <c r="R864" s="317">
        <v>1801000</v>
      </c>
      <c r="S864" s="317">
        <v>1801000</v>
      </c>
      <c r="T864" s="322">
        <f t="shared" si="181"/>
        <v>-1720585.5300000003</v>
      </c>
      <c r="U864" s="140">
        <f t="shared" si="182"/>
        <v>-0.49186491160494872</v>
      </c>
      <c r="V864" s="322">
        <f t="shared" si="191"/>
        <v>-1962500</v>
      </c>
      <c r="W864" s="140">
        <f t="shared" si="183"/>
        <v>-0.52473262032085566</v>
      </c>
      <c r="X864" s="322">
        <f t="shared" si="184"/>
        <v>77500</v>
      </c>
      <c r="Y864" s="140">
        <f t="shared" si="185"/>
        <v>4.5588235294117645E-2</v>
      </c>
      <c r="Z864" s="519">
        <v>2805000</v>
      </c>
      <c r="AA864" s="111">
        <f t="shared" si="192"/>
        <v>3740000</v>
      </c>
      <c r="AB864" s="111">
        <f t="shared" si="193"/>
        <v>-2040000</v>
      </c>
    </row>
    <row r="865" spans="1:28" ht="25.5" customHeight="1">
      <c r="A865" s="114" t="s">
        <v>3026</v>
      </c>
      <c r="B865" s="125" t="s">
        <v>2629</v>
      </c>
      <c r="C865" s="97" t="s">
        <v>3187</v>
      </c>
      <c r="D865" s="97" t="s">
        <v>3193</v>
      </c>
      <c r="E865" s="559" t="s">
        <v>3027</v>
      </c>
      <c r="F865" s="540" t="s">
        <v>4616</v>
      </c>
      <c r="G865" s="555" t="s">
        <v>303</v>
      </c>
      <c r="H865" s="555" t="s">
        <v>3028</v>
      </c>
      <c r="I865" s="556" t="s">
        <v>3029</v>
      </c>
      <c r="J865" s="557" t="s">
        <v>2855</v>
      </c>
      <c r="K865" s="558" t="s">
        <v>2856</v>
      </c>
      <c r="L865" s="95"/>
      <c r="M865" s="104"/>
      <c r="N865" s="137">
        <v>0</v>
      </c>
      <c r="O865" s="138">
        <v>0</v>
      </c>
      <c r="P865" s="138">
        <v>0</v>
      </c>
      <c r="Q865" s="138">
        <v>0</v>
      </c>
      <c r="R865" s="138">
        <v>0</v>
      </c>
      <c r="S865" s="139">
        <v>0</v>
      </c>
      <c r="T865" s="322">
        <f t="shared" si="181"/>
        <v>0</v>
      </c>
      <c r="U865" s="140" t="str">
        <f t="shared" si="182"/>
        <v/>
      </c>
      <c r="V865" s="322">
        <f t="shared" si="191"/>
        <v>0</v>
      </c>
      <c r="W865" s="140" t="str">
        <f t="shared" si="183"/>
        <v/>
      </c>
      <c r="X865" s="322">
        <f t="shared" si="184"/>
        <v>0</v>
      </c>
      <c r="Y865" s="140" t="str">
        <f t="shared" si="185"/>
        <v/>
      </c>
      <c r="Z865" s="519">
        <v>0</v>
      </c>
      <c r="AA865" s="111">
        <f t="shared" si="192"/>
        <v>0</v>
      </c>
      <c r="AB865" s="111">
        <f t="shared" si="193"/>
        <v>0</v>
      </c>
    </row>
    <row r="866" spans="1:28" ht="31.5">
      <c r="A866" s="115" t="s">
        <v>456</v>
      </c>
      <c r="B866" s="124" t="s">
        <v>2629</v>
      </c>
      <c r="C866" s="101" t="s">
        <v>3189</v>
      </c>
      <c r="D866" s="101" t="s">
        <v>3185</v>
      </c>
      <c r="E866" s="554" t="s">
        <v>458</v>
      </c>
      <c r="F866" s="534" t="s">
        <v>457</v>
      </c>
      <c r="G866" s="555"/>
      <c r="H866" s="555"/>
      <c r="I866" s="556"/>
      <c r="J866" s="557"/>
      <c r="K866" s="558"/>
      <c r="L866" s="95"/>
      <c r="M866" s="104"/>
      <c r="N866" s="137">
        <v>0</v>
      </c>
      <c r="O866" s="138">
        <v>0</v>
      </c>
      <c r="P866" s="138">
        <v>0</v>
      </c>
      <c r="Q866" s="138">
        <v>0</v>
      </c>
      <c r="R866" s="138">
        <v>0</v>
      </c>
      <c r="S866" s="139">
        <v>0</v>
      </c>
      <c r="T866" s="322">
        <f t="shared" si="181"/>
        <v>0</v>
      </c>
      <c r="U866" s="140" t="str">
        <f t="shared" si="182"/>
        <v/>
      </c>
      <c r="V866" s="322">
        <f t="shared" si="191"/>
        <v>0</v>
      </c>
      <c r="W866" s="140" t="str">
        <f t="shared" si="183"/>
        <v/>
      </c>
      <c r="X866" s="322">
        <f t="shared" si="184"/>
        <v>0</v>
      </c>
      <c r="Y866" s="140" t="str">
        <f t="shared" si="185"/>
        <v/>
      </c>
      <c r="Z866" s="519">
        <v>0</v>
      </c>
      <c r="AA866" s="111">
        <f t="shared" si="192"/>
        <v>0</v>
      </c>
      <c r="AB866" s="111">
        <f t="shared" si="193"/>
        <v>0</v>
      </c>
    </row>
    <row r="867" spans="1:28" ht="25.5" customHeight="1">
      <c r="A867" s="114" t="s">
        <v>459</v>
      </c>
      <c r="B867" s="125" t="s">
        <v>2629</v>
      </c>
      <c r="C867" s="97" t="s">
        <v>3189</v>
      </c>
      <c r="D867" s="97" t="s">
        <v>3183</v>
      </c>
      <c r="E867" s="559" t="s">
        <v>3030</v>
      </c>
      <c r="F867" s="540" t="s">
        <v>3031</v>
      </c>
      <c r="G867" s="511" t="s">
        <v>297</v>
      </c>
      <c r="H867" s="511" t="s">
        <v>3024</v>
      </c>
      <c r="I867" s="544" t="s">
        <v>3025</v>
      </c>
      <c r="J867" s="542" t="s">
        <v>451</v>
      </c>
      <c r="K867" s="543" t="s">
        <v>2852</v>
      </c>
      <c r="L867" s="95"/>
      <c r="M867" s="104"/>
      <c r="N867" s="137">
        <v>16017704.880000001</v>
      </c>
      <c r="O867" s="138">
        <v>5245303</v>
      </c>
      <c r="P867" s="317">
        <v>5245303.29</v>
      </c>
      <c r="Q867" s="317">
        <v>2400000</v>
      </c>
      <c r="R867" s="317">
        <v>1700000</v>
      </c>
      <c r="S867" s="317">
        <v>0</v>
      </c>
      <c r="T867" s="322">
        <f t="shared" si="181"/>
        <v>-13617704.880000001</v>
      </c>
      <c r="U867" s="140">
        <f t="shared" si="182"/>
        <v>-0.85016579978342066</v>
      </c>
      <c r="V867" s="322">
        <f t="shared" si="191"/>
        <v>-2845303</v>
      </c>
      <c r="W867" s="140">
        <f t="shared" si="183"/>
        <v>-0.54244778614314559</v>
      </c>
      <c r="X867" s="322">
        <f t="shared" si="184"/>
        <v>-2845303.29</v>
      </c>
      <c r="Y867" s="140">
        <f t="shared" si="185"/>
        <v>-0.54244781144008924</v>
      </c>
      <c r="Z867" s="519">
        <v>3933977.25</v>
      </c>
      <c r="AA867" s="111">
        <f t="shared" si="192"/>
        <v>5245303</v>
      </c>
      <c r="AB867" s="111">
        <f t="shared" si="193"/>
        <v>0.2900000000372529</v>
      </c>
    </row>
    <row r="868" spans="1:28" ht="31.5">
      <c r="A868" s="114" t="s">
        <v>3032</v>
      </c>
      <c r="B868" s="125" t="s">
        <v>2629</v>
      </c>
      <c r="C868" s="97" t="s">
        <v>3189</v>
      </c>
      <c r="D868" s="97" t="s">
        <v>3193</v>
      </c>
      <c r="E868" s="559" t="s">
        <v>3033</v>
      </c>
      <c r="F868" s="540" t="s">
        <v>3034</v>
      </c>
      <c r="G868" s="511" t="s">
        <v>303</v>
      </c>
      <c r="H868" s="511" t="s">
        <v>3028</v>
      </c>
      <c r="I868" s="544" t="s">
        <v>3029</v>
      </c>
      <c r="J868" s="542" t="s">
        <v>2855</v>
      </c>
      <c r="K868" s="543" t="s">
        <v>2856</v>
      </c>
      <c r="L868" s="95"/>
      <c r="M868" s="104"/>
      <c r="N868" s="137">
        <v>0</v>
      </c>
      <c r="O868" s="138">
        <v>0</v>
      </c>
      <c r="P868" s="138">
        <v>0</v>
      </c>
      <c r="Q868" s="138">
        <v>0</v>
      </c>
      <c r="R868" s="138">
        <v>0</v>
      </c>
      <c r="S868" s="139">
        <v>0</v>
      </c>
      <c r="T868" s="322">
        <f t="shared" si="181"/>
        <v>0</v>
      </c>
      <c r="U868" s="140" t="str">
        <f t="shared" si="182"/>
        <v/>
      </c>
      <c r="V868" s="322">
        <f t="shared" si="191"/>
        <v>0</v>
      </c>
      <c r="W868" s="140" t="str">
        <f t="shared" si="183"/>
        <v/>
      </c>
      <c r="X868" s="322">
        <f t="shared" si="184"/>
        <v>0</v>
      </c>
      <c r="Y868" s="140" t="str">
        <f t="shared" si="185"/>
        <v/>
      </c>
      <c r="Z868" s="519">
        <v>0</v>
      </c>
      <c r="AA868" s="111">
        <f t="shared" si="192"/>
        <v>0</v>
      </c>
      <c r="AB868" s="111">
        <f t="shared" si="193"/>
        <v>0</v>
      </c>
    </row>
    <row r="869" spans="1:28" ht="25.5" customHeight="1">
      <c r="A869" s="115" t="s">
        <v>460</v>
      </c>
      <c r="B869" s="124" t="s">
        <v>2629</v>
      </c>
      <c r="C869" s="101" t="s">
        <v>3190</v>
      </c>
      <c r="D869" s="101" t="s">
        <v>3185</v>
      </c>
      <c r="E869" s="554" t="s">
        <v>462</v>
      </c>
      <c r="F869" s="534" t="s">
        <v>461</v>
      </c>
      <c r="G869" s="555"/>
      <c r="H869" s="555"/>
      <c r="I869" s="556"/>
      <c r="J869" s="557"/>
      <c r="K869" s="558"/>
      <c r="L869" s="95"/>
      <c r="M869" s="104"/>
      <c r="N869" s="137">
        <v>0</v>
      </c>
      <c r="O869" s="138">
        <v>0</v>
      </c>
      <c r="P869" s="138">
        <v>0</v>
      </c>
      <c r="Q869" s="138">
        <v>0</v>
      </c>
      <c r="R869" s="138">
        <v>0</v>
      </c>
      <c r="S869" s="139">
        <v>0</v>
      </c>
      <c r="T869" s="322">
        <f t="shared" si="181"/>
        <v>0</v>
      </c>
      <c r="U869" s="140" t="str">
        <f t="shared" si="182"/>
        <v/>
      </c>
      <c r="V869" s="322">
        <f t="shared" si="191"/>
        <v>0</v>
      </c>
      <c r="W869" s="140" t="str">
        <f t="shared" si="183"/>
        <v/>
      </c>
      <c r="X869" s="322">
        <f t="shared" si="184"/>
        <v>0</v>
      </c>
      <c r="Y869" s="140" t="str">
        <f t="shared" si="185"/>
        <v/>
      </c>
      <c r="Z869" s="519">
        <v>0</v>
      </c>
      <c r="AA869" s="111">
        <f t="shared" si="192"/>
        <v>0</v>
      </c>
      <c r="AB869" s="111">
        <f t="shared" si="193"/>
        <v>0</v>
      </c>
    </row>
    <row r="870" spans="1:28" ht="25.5" customHeight="1">
      <c r="A870" s="114" t="s">
        <v>463</v>
      </c>
      <c r="B870" s="125" t="s">
        <v>2629</v>
      </c>
      <c r="C870" s="97" t="s">
        <v>3190</v>
      </c>
      <c r="D870" s="97" t="s">
        <v>3183</v>
      </c>
      <c r="E870" s="559" t="s">
        <v>465</v>
      </c>
      <c r="F870" s="540" t="s">
        <v>464</v>
      </c>
      <c r="G870" s="511" t="s">
        <v>307</v>
      </c>
      <c r="H870" s="511" t="s">
        <v>3035</v>
      </c>
      <c r="I870" s="544" t="s">
        <v>3036</v>
      </c>
      <c r="J870" s="542" t="s">
        <v>2860</v>
      </c>
      <c r="K870" s="558" t="s">
        <v>2862</v>
      </c>
      <c r="L870" s="95"/>
      <c r="M870" s="104"/>
      <c r="N870" s="137">
        <v>612571.46</v>
      </c>
      <c r="O870" s="138">
        <v>775000</v>
      </c>
      <c r="P870" s="317">
        <v>775000</v>
      </c>
      <c r="Q870" s="317">
        <v>775000</v>
      </c>
      <c r="R870" s="317">
        <v>775000</v>
      </c>
      <c r="S870" s="317">
        <v>775000</v>
      </c>
      <c r="T870" s="322">
        <f t="shared" si="181"/>
        <v>162428.54000000004</v>
      </c>
      <c r="U870" s="140">
        <f t="shared" si="182"/>
        <v>0.26515851717936723</v>
      </c>
      <c r="V870" s="322">
        <f t="shared" si="191"/>
        <v>0</v>
      </c>
      <c r="W870" s="140">
        <f t="shared" si="183"/>
        <v>0</v>
      </c>
      <c r="X870" s="322">
        <f t="shared" si="184"/>
        <v>0</v>
      </c>
      <c r="Y870" s="140">
        <f t="shared" si="185"/>
        <v>0</v>
      </c>
      <c r="Z870" s="519">
        <v>581250</v>
      </c>
      <c r="AA870" s="111">
        <f t="shared" si="192"/>
        <v>775000</v>
      </c>
      <c r="AB870" s="111">
        <f t="shared" si="193"/>
        <v>0</v>
      </c>
    </row>
    <row r="871" spans="1:28" ht="25.5" customHeight="1">
      <c r="A871" s="114" t="s">
        <v>466</v>
      </c>
      <c r="B871" s="125" t="s">
        <v>2629</v>
      </c>
      <c r="C871" s="97" t="s">
        <v>3190</v>
      </c>
      <c r="D871" s="97" t="s">
        <v>3193</v>
      </c>
      <c r="E871" s="559" t="s">
        <v>4419</v>
      </c>
      <c r="F871" s="540" t="s">
        <v>5578</v>
      </c>
      <c r="G871" s="511" t="s">
        <v>307</v>
      </c>
      <c r="H871" s="511" t="s">
        <v>3037</v>
      </c>
      <c r="I871" s="544" t="s">
        <v>3036</v>
      </c>
      <c r="J871" s="542" t="s">
        <v>2860</v>
      </c>
      <c r="K871" s="558" t="s">
        <v>2862</v>
      </c>
      <c r="L871" s="95"/>
      <c r="M871" s="104"/>
      <c r="N871" s="137">
        <v>17645071.539999999</v>
      </c>
      <c r="O871" s="138">
        <v>17700000</v>
      </c>
      <c r="P871" s="317">
        <v>17668000</v>
      </c>
      <c r="Q871" s="317">
        <v>17662000</v>
      </c>
      <c r="R871" s="317">
        <v>17662000</v>
      </c>
      <c r="S871" s="317">
        <v>17662000</v>
      </c>
      <c r="T871" s="322">
        <f t="shared" si="181"/>
        <v>16928.460000000894</v>
      </c>
      <c r="U871" s="140">
        <f t="shared" si="182"/>
        <v>9.5938743924190936E-4</v>
      </c>
      <c r="V871" s="322">
        <f t="shared" si="191"/>
        <v>-38000</v>
      </c>
      <c r="W871" s="140">
        <f t="shared" si="183"/>
        <v>-2.1468926553672315E-3</v>
      </c>
      <c r="X871" s="322">
        <f t="shared" si="184"/>
        <v>-6000</v>
      </c>
      <c r="Y871" s="140">
        <f t="shared" si="185"/>
        <v>-3.3959701154629839E-4</v>
      </c>
      <c r="Z871" s="519">
        <v>13275000</v>
      </c>
      <c r="AA871" s="111">
        <f t="shared" si="192"/>
        <v>17700000</v>
      </c>
      <c r="AB871" s="111">
        <f t="shared" si="193"/>
        <v>-32000</v>
      </c>
    </row>
    <row r="872" spans="1:28" ht="25.5" customHeight="1">
      <c r="A872" s="114" t="s">
        <v>467</v>
      </c>
      <c r="B872" s="125" t="s">
        <v>2629</v>
      </c>
      <c r="C872" s="97" t="s">
        <v>3190</v>
      </c>
      <c r="D872" s="97" t="s">
        <v>2631</v>
      </c>
      <c r="E872" s="559" t="s">
        <v>469</v>
      </c>
      <c r="F872" s="540" t="s">
        <v>468</v>
      </c>
      <c r="G872" s="511" t="s">
        <v>307</v>
      </c>
      <c r="H872" s="511" t="s">
        <v>3037</v>
      </c>
      <c r="I872" s="544" t="s">
        <v>3036</v>
      </c>
      <c r="J872" s="542" t="s">
        <v>2860</v>
      </c>
      <c r="K872" s="558" t="s">
        <v>2862</v>
      </c>
      <c r="L872" s="95"/>
      <c r="M872" s="104"/>
      <c r="N872" s="137">
        <v>2869984.82</v>
      </c>
      <c r="O872" s="138">
        <v>3076000</v>
      </c>
      <c r="P872" s="317">
        <v>2776000</v>
      </c>
      <c r="Q872" s="317">
        <v>2776000</v>
      </c>
      <c r="R872" s="317">
        <v>2776000</v>
      </c>
      <c r="S872" s="317">
        <v>2776000</v>
      </c>
      <c r="T872" s="322">
        <f t="shared" si="181"/>
        <v>-93984.819999999832</v>
      </c>
      <c r="U872" s="140">
        <f t="shared" si="182"/>
        <v>-3.2747497249828603E-2</v>
      </c>
      <c r="V872" s="322">
        <f t="shared" si="191"/>
        <v>-300000</v>
      </c>
      <c r="W872" s="140">
        <f t="shared" si="183"/>
        <v>-9.7529258777633285E-2</v>
      </c>
      <c r="X872" s="322">
        <f t="shared" si="184"/>
        <v>0</v>
      </c>
      <c r="Y872" s="140">
        <f t="shared" si="185"/>
        <v>0</v>
      </c>
      <c r="Z872" s="519">
        <v>2082000</v>
      </c>
      <c r="AA872" s="111">
        <f t="shared" si="192"/>
        <v>2776000</v>
      </c>
      <c r="AB872" s="111">
        <f t="shared" si="193"/>
        <v>0</v>
      </c>
    </row>
    <row r="873" spans="1:28" ht="25.5" customHeight="1">
      <c r="A873" s="114" t="s">
        <v>470</v>
      </c>
      <c r="B873" s="125" t="s">
        <v>2629</v>
      </c>
      <c r="C873" s="97" t="s">
        <v>3190</v>
      </c>
      <c r="D873" s="97" t="s">
        <v>2137</v>
      </c>
      <c r="E873" s="540" t="s">
        <v>472</v>
      </c>
      <c r="F873" s="540" t="s">
        <v>471</v>
      </c>
      <c r="G873" s="511" t="s">
        <v>307</v>
      </c>
      <c r="H873" s="511" t="s">
        <v>3037</v>
      </c>
      <c r="I873" s="544" t="s">
        <v>3036</v>
      </c>
      <c r="J873" s="542" t="s">
        <v>2860</v>
      </c>
      <c r="K873" s="558" t="s">
        <v>2862</v>
      </c>
      <c r="L873" s="95"/>
      <c r="M873" s="104"/>
      <c r="N873" s="137">
        <v>664467.82999999996</v>
      </c>
      <c r="O873" s="138">
        <v>675000</v>
      </c>
      <c r="P873" s="317">
        <f>80000+1524000</f>
        <v>1604000</v>
      </c>
      <c r="Q873" s="317">
        <v>27075000</v>
      </c>
      <c r="R873" s="317">
        <v>27075000</v>
      </c>
      <c r="S873" s="317">
        <v>27075000</v>
      </c>
      <c r="T873" s="322">
        <f t="shared" si="181"/>
        <v>26410532.170000002</v>
      </c>
      <c r="U873" s="140">
        <f t="shared" si="182"/>
        <v>39.746893645701405</v>
      </c>
      <c r="V873" s="322">
        <f t="shared" si="191"/>
        <v>26400000</v>
      </c>
      <c r="W873" s="140">
        <f t="shared" si="183"/>
        <v>39.111111111111114</v>
      </c>
      <c r="X873" s="322">
        <f t="shared" si="184"/>
        <v>25471000</v>
      </c>
      <c r="Y873" s="140">
        <f t="shared" si="185"/>
        <v>15.879675810473815</v>
      </c>
      <c r="Z873" s="519">
        <v>506250</v>
      </c>
      <c r="AA873" s="111">
        <f t="shared" si="192"/>
        <v>675000</v>
      </c>
      <c r="AB873" s="111">
        <f t="shared" si="193"/>
        <v>929000</v>
      </c>
    </row>
    <row r="874" spans="1:28" ht="25.5" customHeight="1">
      <c r="A874" s="117" t="s">
        <v>3038</v>
      </c>
      <c r="B874" s="127" t="s">
        <v>2629</v>
      </c>
      <c r="C874" s="99" t="s">
        <v>3191</v>
      </c>
      <c r="D874" s="99" t="s">
        <v>3185</v>
      </c>
      <c r="E874" s="534" t="s">
        <v>3039</v>
      </c>
      <c r="F874" s="534" t="s">
        <v>3040</v>
      </c>
      <c r="G874" s="511"/>
      <c r="H874" s="511"/>
      <c r="I874" s="544"/>
      <c r="J874" s="557"/>
      <c r="K874" s="558"/>
      <c r="L874" s="95"/>
      <c r="M874" s="104"/>
      <c r="N874" s="137">
        <v>0</v>
      </c>
      <c r="O874" s="138">
        <v>0</v>
      </c>
      <c r="P874" s="138">
        <v>0</v>
      </c>
      <c r="Q874" s="138">
        <v>0</v>
      </c>
      <c r="R874" s="138">
        <v>0</v>
      </c>
      <c r="S874" s="139">
        <v>0</v>
      </c>
      <c r="T874" s="322">
        <f t="shared" si="181"/>
        <v>0</v>
      </c>
      <c r="U874" s="140" t="str">
        <f t="shared" si="182"/>
        <v/>
      </c>
      <c r="V874" s="322">
        <f t="shared" si="191"/>
        <v>0</v>
      </c>
      <c r="W874" s="140" t="str">
        <f t="shared" si="183"/>
        <v/>
      </c>
      <c r="X874" s="322">
        <f t="shared" si="184"/>
        <v>0</v>
      </c>
      <c r="Y874" s="140" t="str">
        <f t="shared" si="185"/>
        <v/>
      </c>
      <c r="Z874" s="519">
        <v>0</v>
      </c>
      <c r="AA874" s="111">
        <f t="shared" si="192"/>
        <v>0</v>
      </c>
      <c r="AB874" s="111">
        <f t="shared" si="193"/>
        <v>0</v>
      </c>
    </row>
    <row r="875" spans="1:28" ht="25.5" customHeight="1">
      <c r="A875" s="116" t="s">
        <v>3041</v>
      </c>
      <c r="B875" s="126" t="s">
        <v>2629</v>
      </c>
      <c r="C875" s="98" t="s">
        <v>3191</v>
      </c>
      <c r="D875" s="98" t="s">
        <v>3183</v>
      </c>
      <c r="E875" s="540" t="s">
        <v>3039</v>
      </c>
      <c r="F875" s="540" t="s">
        <v>3040</v>
      </c>
      <c r="G875" s="555" t="s">
        <v>88</v>
      </c>
      <c r="H875" s="555" t="s">
        <v>3042</v>
      </c>
      <c r="I875" s="556" t="s">
        <v>3043</v>
      </c>
      <c r="J875" s="557" t="s">
        <v>3044</v>
      </c>
      <c r="K875" s="558" t="s">
        <v>3547</v>
      </c>
      <c r="L875" s="95"/>
      <c r="M875" s="104"/>
      <c r="N875" s="137">
        <v>37783.589999999997</v>
      </c>
      <c r="O875" s="138">
        <v>200000</v>
      </c>
      <c r="P875" s="317">
        <v>200000</v>
      </c>
      <c r="Q875" s="317">
        <v>450000</v>
      </c>
      <c r="R875" s="317">
        <v>400000</v>
      </c>
      <c r="S875" s="317">
        <v>400000</v>
      </c>
      <c r="T875" s="322">
        <f t="shared" si="181"/>
        <v>412216.41000000003</v>
      </c>
      <c r="U875" s="140">
        <f t="shared" si="182"/>
        <v>10.909932327764515</v>
      </c>
      <c r="V875" s="322">
        <f t="shared" si="191"/>
        <v>250000</v>
      </c>
      <c r="W875" s="140">
        <f t="shared" si="183"/>
        <v>1.25</v>
      </c>
      <c r="X875" s="322">
        <f t="shared" si="184"/>
        <v>250000</v>
      </c>
      <c r="Y875" s="140">
        <f t="shared" si="185"/>
        <v>1.25</v>
      </c>
      <c r="Z875" s="519">
        <v>150000</v>
      </c>
      <c r="AA875" s="111">
        <f t="shared" si="192"/>
        <v>200000</v>
      </c>
      <c r="AB875" s="111">
        <f t="shared" si="193"/>
        <v>0</v>
      </c>
    </row>
    <row r="876" spans="1:28" ht="25.5" customHeight="1">
      <c r="A876" s="117" t="s">
        <v>3045</v>
      </c>
      <c r="B876" s="127" t="s">
        <v>2629</v>
      </c>
      <c r="C876" s="99" t="s">
        <v>999</v>
      </c>
      <c r="D876" s="99" t="s">
        <v>3185</v>
      </c>
      <c r="E876" s="534" t="s">
        <v>3046</v>
      </c>
      <c r="F876" s="534" t="s">
        <v>3047</v>
      </c>
      <c r="G876" s="555"/>
      <c r="H876" s="555"/>
      <c r="I876" s="556"/>
      <c r="J876" s="557"/>
      <c r="K876" s="558"/>
      <c r="L876" s="95"/>
      <c r="M876" s="104"/>
      <c r="N876" s="137">
        <v>0</v>
      </c>
      <c r="O876" s="138">
        <v>0</v>
      </c>
      <c r="P876" s="138">
        <v>0</v>
      </c>
      <c r="Q876" s="138">
        <v>0</v>
      </c>
      <c r="R876" s="138">
        <v>0</v>
      </c>
      <c r="S876" s="139">
        <v>0</v>
      </c>
      <c r="T876" s="322">
        <f t="shared" si="181"/>
        <v>0</v>
      </c>
      <c r="U876" s="140" t="str">
        <f t="shared" si="182"/>
        <v/>
      </c>
      <c r="V876" s="322">
        <f t="shared" si="191"/>
        <v>0</v>
      </c>
      <c r="W876" s="140" t="str">
        <f t="shared" si="183"/>
        <v/>
      </c>
      <c r="X876" s="322">
        <f t="shared" si="184"/>
        <v>0</v>
      </c>
      <c r="Y876" s="140" t="str">
        <f t="shared" si="185"/>
        <v/>
      </c>
      <c r="Z876" s="519">
        <v>0</v>
      </c>
      <c r="AA876" s="111">
        <f t="shared" si="192"/>
        <v>0</v>
      </c>
      <c r="AB876" s="111">
        <f t="shared" si="193"/>
        <v>0</v>
      </c>
    </row>
    <row r="877" spans="1:28" ht="25.5" customHeight="1">
      <c r="A877" s="116" t="s">
        <v>3048</v>
      </c>
      <c r="B877" s="126" t="s">
        <v>2629</v>
      </c>
      <c r="C877" s="98" t="s">
        <v>999</v>
      </c>
      <c r="D877" s="98" t="s">
        <v>3183</v>
      </c>
      <c r="E877" s="540" t="s">
        <v>3046</v>
      </c>
      <c r="F877" s="540" t="s">
        <v>3047</v>
      </c>
      <c r="G877" s="511" t="s">
        <v>309</v>
      </c>
      <c r="H877" s="511" t="s">
        <v>3049</v>
      </c>
      <c r="I877" s="544" t="s">
        <v>3050</v>
      </c>
      <c r="J877" s="542" t="s">
        <v>2863</v>
      </c>
      <c r="K877" s="543" t="s">
        <v>2865</v>
      </c>
      <c r="L877" s="95"/>
      <c r="M877" s="104"/>
      <c r="N877" s="137">
        <v>0</v>
      </c>
      <c r="O877" s="138">
        <v>0</v>
      </c>
      <c r="P877" s="317">
        <v>600000</v>
      </c>
      <c r="Q877" s="317">
        <v>0</v>
      </c>
      <c r="R877" s="317">
        <v>0</v>
      </c>
      <c r="S877" s="317">
        <v>0</v>
      </c>
      <c r="T877" s="322">
        <f t="shared" si="181"/>
        <v>0</v>
      </c>
      <c r="U877" s="140" t="str">
        <f t="shared" si="182"/>
        <v/>
      </c>
      <c r="V877" s="322">
        <f t="shared" si="191"/>
        <v>0</v>
      </c>
      <c r="W877" s="140" t="str">
        <f t="shared" si="183"/>
        <v/>
      </c>
      <c r="X877" s="322">
        <f t="shared" si="184"/>
        <v>-600000</v>
      </c>
      <c r="Y877" s="140">
        <f t="shared" si="185"/>
        <v>-1</v>
      </c>
      <c r="Z877" s="519">
        <v>0</v>
      </c>
      <c r="AA877" s="111">
        <f t="shared" si="192"/>
        <v>0</v>
      </c>
      <c r="AB877" s="111">
        <f t="shared" si="193"/>
        <v>600000</v>
      </c>
    </row>
    <row r="878" spans="1:28" ht="25.5" customHeight="1">
      <c r="A878" s="117" t="s">
        <v>3051</v>
      </c>
      <c r="B878" s="127" t="s">
        <v>2629</v>
      </c>
      <c r="C878" s="99" t="s">
        <v>3194</v>
      </c>
      <c r="D878" s="99" t="s">
        <v>3185</v>
      </c>
      <c r="E878" s="534" t="s">
        <v>3052</v>
      </c>
      <c r="F878" s="534" t="s">
        <v>3053</v>
      </c>
      <c r="G878" s="555"/>
      <c r="H878" s="555"/>
      <c r="I878" s="556"/>
      <c r="J878" s="557"/>
      <c r="K878" s="558"/>
      <c r="L878" s="95"/>
      <c r="M878" s="104"/>
      <c r="N878" s="137">
        <v>0</v>
      </c>
      <c r="O878" s="138">
        <v>0</v>
      </c>
      <c r="P878" s="138">
        <v>0</v>
      </c>
      <c r="Q878" s="138">
        <v>0</v>
      </c>
      <c r="R878" s="138">
        <v>0</v>
      </c>
      <c r="S878" s="139">
        <v>0</v>
      </c>
      <c r="T878" s="322">
        <f t="shared" si="181"/>
        <v>0</v>
      </c>
      <c r="U878" s="140" t="str">
        <f t="shared" si="182"/>
        <v/>
      </c>
      <c r="V878" s="322">
        <f t="shared" si="191"/>
        <v>0</v>
      </c>
      <c r="W878" s="140" t="str">
        <f t="shared" si="183"/>
        <v/>
      </c>
      <c r="X878" s="322">
        <f t="shared" si="184"/>
        <v>0</v>
      </c>
      <c r="Y878" s="140" t="str">
        <f t="shared" si="185"/>
        <v/>
      </c>
      <c r="Z878" s="519">
        <v>0</v>
      </c>
      <c r="AA878" s="111">
        <f t="shared" si="192"/>
        <v>0</v>
      </c>
      <c r="AB878" s="111">
        <f t="shared" si="193"/>
        <v>0</v>
      </c>
    </row>
    <row r="879" spans="1:28" ht="36.75" customHeight="1">
      <c r="A879" s="116" t="s">
        <v>3054</v>
      </c>
      <c r="B879" s="126" t="s">
        <v>2629</v>
      </c>
      <c r="C879" s="98" t="s">
        <v>3194</v>
      </c>
      <c r="D879" s="98" t="s">
        <v>3183</v>
      </c>
      <c r="E879" s="540" t="s">
        <v>3055</v>
      </c>
      <c r="F879" s="540" t="s">
        <v>3056</v>
      </c>
      <c r="G879" s="555" t="s">
        <v>95</v>
      </c>
      <c r="H879" s="555" t="s">
        <v>3057</v>
      </c>
      <c r="I879" s="556" t="s">
        <v>3058</v>
      </c>
      <c r="J879" s="557" t="s">
        <v>3552</v>
      </c>
      <c r="K879" s="558" t="s">
        <v>3553</v>
      </c>
      <c r="L879" s="95"/>
      <c r="M879" s="104"/>
      <c r="N879" s="137">
        <v>-1628.07</v>
      </c>
      <c r="O879" s="138">
        <v>0</v>
      </c>
      <c r="P879" s="138">
        <v>0</v>
      </c>
      <c r="Q879" s="138">
        <v>0</v>
      </c>
      <c r="R879" s="138">
        <v>0</v>
      </c>
      <c r="S879" s="139">
        <v>0</v>
      </c>
      <c r="T879" s="322">
        <f t="shared" si="181"/>
        <v>1628.07</v>
      </c>
      <c r="U879" s="140">
        <f t="shared" si="182"/>
        <v>-1</v>
      </c>
      <c r="V879" s="322">
        <f t="shared" si="191"/>
        <v>0</v>
      </c>
      <c r="W879" s="140" t="str">
        <f t="shared" si="183"/>
        <v/>
      </c>
      <c r="X879" s="322">
        <f t="shared" si="184"/>
        <v>0</v>
      </c>
      <c r="Y879" s="140" t="str">
        <f t="shared" si="185"/>
        <v/>
      </c>
      <c r="Z879" s="519">
        <v>0</v>
      </c>
      <c r="AA879" s="111">
        <f t="shared" si="192"/>
        <v>0</v>
      </c>
      <c r="AB879" s="111">
        <f t="shared" si="193"/>
        <v>0</v>
      </c>
    </row>
    <row r="880" spans="1:28" ht="25.5" customHeight="1">
      <c r="A880" s="116" t="s">
        <v>3059</v>
      </c>
      <c r="B880" s="126" t="s">
        <v>2629</v>
      </c>
      <c r="C880" s="98" t="s">
        <v>3194</v>
      </c>
      <c r="D880" s="98" t="s">
        <v>3193</v>
      </c>
      <c r="E880" s="540" t="s">
        <v>3060</v>
      </c>
      <c r="F880" s="540" t="s">
        <v>3061</v>
      </c>
      <c r="G880" s="555" t="s">
        <v>97</v>
      </c>
      <c r="H880" s="555" t="s">
        <v>2043</v>
      </c>
      <c r="I880" s="556" t="s">
        <v>3062</v>
      </c>
      <c r="J880" s="557" t="s">
        <v>3552</v>
      </c>
      <c r="K880" s="558" t="s">
        <v>3553</v>
      </c>
      <c r="L880" s="95"/>
      <c r="M880" s="104"/>
      <c r="N880" s="137">
        <v>0</v>
      </c>
      <c r="O880" s="138">
        <v>0</v>
      </c>
      <c r="P880" s="138">
        <v>0</v>
      </c>
      <c r="Q880" s="138">
        <v>0</v>
      </c>
      <c r="R880" s="138">
        <v>0</v>
      </c>
      <c r="S880" s="139">
        <v>0</v>
      </c>
      <c r="T880" s="322">
        <f t="shared" si="181"/>
        <v>0</v>
      </c>
      <c r="U880" s="140" t="str">
        <f t="shared" si="182"/>
        <v/>
      </c>
      <c r="V880" s="322">
        <f t="shared" si="191"/>
        <v>0</v>
      </c>
      <c r="W880" s="140" t="str">
        <f t="shared" si="183"/>
        <v/>
      </c>
      <c r="X880" s="322">
        <f t="shared" si="184"/>
        <v>0</v>
      </c>
      <c r="Y880" s="140" t="str">
        <f t="shared" si="185"/>
        <v/>
      </c>
      <c r="Z880" s="519">
        <v>0</v>
      </c>
      <c r="AA880" s="111">
        <f t="shared" si="192"/>
        <v>0</v>
      </c>
      <c r="AB880" s="111">
        <f t="shared" si="193"/>
        <v>0</v>
      </c>
    </row>
    <row r="881" spans="1:28" ht="21">
      <c r="A881" s="113" t="s">
        <v>473</v>
      </c>
      <c r="B881" s="135" t="s">
        <v>474</v>
      </c>
      <c r="C881" s="136" t="s">
        <v>3184</v>
      </c>
      <c r="D881" s="136" t="s">
        <v>3185</v>
      </c>
      <c r="E881" s="529" t="s">
        <v>476</v>
      </c>
      <c r="F881" s="529" t="s">
        <v>475</v>
      </c>
      <c r="G881" s="530"/>
      <c r="H881" s="530"/>
      <c r="I881" s="531"/>
      <c r="J881" s="532"/>
      <c r="K881" s="533"/>
      <c r="L881" s="95"/>
      <c r="M881" s="147"/>
      <c r="N881" s="137">
        <v>0</v>
      </c>
      <c r="O881" s="138">
        <v>0</v>
      </c>
      <c r="P881" s="138">
        <v>0</v>
      </c>
      <c r="Q881" s="138">
        <v>0</v>
      </c>
      <c r="R881" s="138">
        <v>0</v>
      </c>
      <c r="S881" s="139">
        <v>0</v>
      </c>
      <c r="T881" s="322">
        <f t="shared" si="181"/>
        <v>0</v>
      </c>
      <c r="U881" s="140" t="str">
        <f t="shared" si="182"/>
        <v/>
      </c>
      <c r="V881" s="322">
        <f t="shared" si="191"/>
        <v>0</v>
      </c>
      <c r="W881" s="140" t="str">
        <f t="shared" si="183"/>
        <v/>
      </c>
      <c r="X881" s="322">
        <f t="shared" si="184"/>
        <v>0</v>
      </c>
      <c r="Y881" s="140" t="str">
        <f t="shared" si="185"/>
        <v/>
      </c>
      <c r="Z881" s="519">
        <v>0</v>
      </c>
      <c r="AA881" s="111">
        <f t="shared" si="192"/>
        <v>0</v>
      </c>
      <c r="AB881" s="111">
        <f t="shared" si="193"/>
        <v>0</v>
      </c>
    </row>
    <row r="882" spans="1:28" ht="36" customHeight="1">
      <c r="A882" s="115" t="s">
        <v>477</v>
      </c>
      <c r="B882" s="124" t="s">
        <v>474</v>
      </c>
      <c r="C882" s="101" t="s">
        <v>3186</v>
      </c>
      <c r="D882" s="101" t="s">
        <v>3185</v>
      </c>
      <c r="E882" s="589" t="s">
        <v>5610</v>
      </c>
      <c r="F882" s="589" t="s">
        <v>5144</v>
      </c>
      <c r="G882" s="555"/>
      <c r="H882" s="555"/>
      <c r="I882" s="556"/>
      <c r="J882" s="557"/>
      <c r="K882" s="558"/>
      <c r="L882" s="95"/>
      <c r="M882" s="104"/>
      <c r="N882" s="137">
        <v>0</v>
      </c>
      <c r="O882" s="138">
        <v>0</v>
      </c>
      <c r="P882" s="138">
        <v>0</v>
      </c>
      <c r="Q882" s="138">
        <v>0</v>
      </c>
      <c r="R882" s="138">
        <v>0</v>
      </c>
      <c r="S882" s="139">
        <v>0</v>
      </c>
      <c r="T882" s="322">
        <f t="shared" si="181"/>
        <v>0</v>
      </c>
      <c r="U882" s="140" t="str">
        <f t="shared" si="182"/>
        <v/>
      </c>
      <c r="V882" s="322">
        <f t="shared" si="191"/>
        <v>0</v>
      </c>
      <c r="W882" s="140" t="str">
        <f t="shared" si="183"/>
        <v/>
      </c>
      <c r="X882" s="322">
        <f t="shared" si="184"/>
        <v>0</v>
      </c>
      <c r="Y882" s="140" t="str">
        <f t="shared" si="185"/>
        <v/>
      </c>
      <c r="Z882" s="519">
        <v>0</v>
      </c>
      <c r="AA882" s="111">
        <f t="shared" si="192"/>
        <v>0</v>
      </c>
      <c r="AB882" s="111">
        <f t="shared" si="193"/>
        <v>0</v>
      </c>
    </row>
    <row r="883" spans="1:28" ht="28.5" customHeight="1">
      <c r="A883" s="510" t="s">
        <v>5145</v>
      </c>
      <c r="B883" s="305" t="s">
        <v>474</v>
      </c>
      <c r="C883" s="306" t="s">
        <v>3186</v>
      </c>
      <c r="D883" s="306" t="s">
        <v>3099</v>
      </c>
      <c r="E883" s="561" t="s">
        <v>5146</v>
      </c>
      <c r="F883" s="561" t="s">
        <v>5147</v>
      </c>
      <c r="G883" s="548" t="s">
        <v>4670</v>
      </c>
      <c r="H883" s="548" t="s">
        <v>3063</v>
      </c>
      <c r="I883" s="549" t="s">
        <v>5148</v>
      </c>
      <c r="J883" s="550" t="s">
        <v>3539</v>
      </c>
      <c r="K883" s="551" t="s">
        <v>3541</v>
      </c>
      <c r="L883" s="95"/>
      <c r="M883" s="104"/>
      <c r="N883" s="137">
        <v>0</v>
      </c>
      <c r="O883" s="138">
        <v>0</v>
      </c>
      <c r="P883" s="138">
        <v>0</v>
      </c>
      <c r="Q883" s="138">
        <v>0</v>
      </c>
      <c r="R883" s="138">
        <v>0</v>
      </c>
      <c r="S883" s="139">
        <v>0</v>
      </c>
      <c r="T883" s="322">
        <f t="shared" ref="T883" si="204">IF(N883="","",Q883-N883)</f>
        <v>0</v>
      </c>
      <c r="U883" s="140" t="str">
        <f t="shared" ref="U883" si="205">IF(N883=0,"",T883/N883)</f>
        <v/>
      </c>
      <c r="V883" s="322">
        <f t="shared" si="191"/>
        <v>0</v>
      </c>
      <c r="W883" s="140" t="str">
        <f t="shared" ref="W883" si="206">IF(O883=0,"",V883/O883)</f>
        <v/>
      </c>
      <c r="X883" s="322">
        <f t="shared" ref="X883" si="207">IF(P883="","",Q883-P883)</f>
        <v>0</v>
      </c>
      <c r="Y883" s="140" t="str">
        <f t="shared" ref="Y883" si="208">IF(P883=0,"",X883/P883)</f>
        <v/>
      </c>
      <c r="Z883" s="519">
        <v>0</v>
      </c>
      <c r="AA883" s="111">
        <f t="shared" si="192"/>
        <v>0</v>
      </c>
      <c r="AB883" s="111">
        <f t="shared" si="193"/>
        <v>0</v>
      </c>
    </row>
    <row r="884" spans="1:28" ht="24.75" customHeight="1">
      <c r="A884" s="119" t="s">
        <v>478</v>
      </c>
      <c r="B884" s="125" t="s">
        <v>474</v>
      </c>
      <c r="C884" s="97" t="s">
        <v>3186</v>
      </c>
      <c r="D884" s="97" t="s">
        <v>3183</v>
      </c>
      <c r="E884" s="546" t="s">
        <v>5149</v>
      </c>
      <c r="F884" s="546" t="s">
        <v>5150</v>
      </c>
      <c r="G884" s="555" t="s">
        <v>317</v>
      </c>
      <c r="H884" s="555" t="s">
        <v>3063</v>
      </c>
      <c r="I884" s="556" t="s">
        <v>3064</v>
      </c>
      <c r="J884" s="557" t="s">
        <v>3539</v>
      </c>
      <c r="K884" s="558" t="s">
        <v>3541</v>
      </c>
      <c r="L884" s="95"/>
      <c r="M884" s="104"/>
      <c r="N884" s="137">
        <v>0</v>
      </c>
      <c r="O884" s="138">
        <v>0</v>
      </c>
      <c r="P884" s="138">
        <v>0</v>
      </c>
      <c r="Q884" s="138">
        <v>0</v>
      </c>
      <c r="R884" s="138">
        <v>0</v>
      </c>
      <c r="S884" s="139">
        <v>0</v>
      </c>
      <c r="T884" s="322">
        <f t="shared" si="181"/>
        <v>0</v>
      </c>
      <c r="U884" s="140" t="str">
        <f t="shared" si="182"/>
        <v/>
      </c>
      <c r="V884" s="322">
        <f t="shared" si="191"/>
        <v>0</v>
      </c>
      <c r="W884" s="140" t="str">
        <f t="shared" si="183"/>
        <v/>
      </c>
      <c r="X884" s="322">
        <f t="shared" si="184"/>
        <v>0</v>
      </c>
      <c r="Y884" s="140" t="str">
        <f t="shared" si="185"/>
        <v/>
      </c>
      <c r="Z884" s="519">
        <v>0</v>
      </c>
      <c r="AA884" s="111">
        <f t="shared" si="192"/>
        <v>0</v>
      </c>
      <c r="AB884" s="111">
        <f t="shared" si="193"/>
        <v>0</v>
      </c>
    </row>
    <row r="885" spans="1:28" ht="24.75" customHeight="1">
      <c r="A885" s="118" t="s">
        <v>479</v>
      </c>
      <c r="B885" s="124" t="s">
        <v>474</v>
      </c>
      <c r="C885" s="101" t="s">
        <v>3187</v>
      </c>
      <c r="D885" s="101" t="s">
        <v>3185</v>
      </c>
      <c r="E885" s="554" t="s">
        <v>481</v>
      </c>
      <c r="F885" s="534" t="s">
        <v>480</v>
      </c>
      <c r="G885" s="555"/>
      <c r="H885" s="555"/>
      <c r="I885" s="556"/>
      <c r="J885" s="557"/>
      <c r="K885" s="558"/>
      <c r="L885" s="95"/>
      <c r="M885" s="104"/>
      <c r="N885" s="137">
        <v>0</v>
      </c>
      <c r="O885" s="138">
        <v>0</v>
      </c>
      <c r="P885" s="138">
        <v>0</v>
      </c>
      <c r="Q885" s="138">
        <v>0</v>
      </c>
      <c r="R885" s="138">
        <v>0</v>
      </c>
      <c r="S885" s="139">
        <v>0</v>
      </c>
      <c r="T885" s="322">
        <f t="shared" si="181"/>
        <v>0</v>
      </c>
      <c r="U885" s="140" t="str">
        <f t="shared" si="182"/>
        <v/>
      </c>
      <c r="V885" s="322">
        <f t="shared" si="191"/>
        <v>0</v>
      </c>
      <c r="W885" s="140" t="str">
        <f t="shared" si="183"/>
        <v/>
      </c>
      <c r="X885" s="322">
        <f t="shared" si="184"/>
        <v>0</v>
      </c>
      <c r="Y885" s="140" t="str">
        <f t="shared" si="185"/>
        <v/>
      </c>
      <c r="Z885" s="519">
        <v>0</v>
      </c>
      <c r="AA885" s="111">
        <f t="shared" si="192"/>
        <v>0</v>
      </c>
      <c r="AB885" s="111">
        <f t="shared" si="193"/>
        <v>0</v>
      </c>
    </row>
    <row r="886" spans="1:28" ht="38.25" customHeight="1">
      <c r="A886" s="119" t="s">
        <v>482</v>
      </c>
      <c r="B886" s="125" t="s">
        <v>474</v>
      </c>
      <c r="C886" s="97" t="s">
        <v>3187</v>
      </c>
      <c r="D886" s="97" t="s">
        <v>3183</v>
      </c>
      <c r="E886" s="546" t="s">
        <v>5151</v>
      </c>
      <c r="F886" s="546" t="s">
        <v>5152</v>
      </c>
      <c r="G886" s="512" t="s">
        <v>317</v>
      </c>
      <c r="H886" s="512" t="s">
        <v>5153</v>
      </c>
      <c r="I886" s="541" t="s">
        <v>3064</v>
      </c>
      <c r="J886" s="576" t="s">
        <v>3539</v>
      </c>
      <c r="K886" s="577" t="s">
        <v>3541</v>
      </c>
      <c r="L886" s="95"/>
      <c r="M886" s="104"/>
      <c r="N886" s="137">
        <v>0</v>
      </c>
      <c r="O886" s="138">
        <v>0</v>
      </c>
      <c r="P886" s="138">
        <v>0</v>
      </c>
      <c r="Q886" s="138">
        <v>0</v>
      </c>
      <c r="R886" s="138">
        <v>0</v>
      </c>
      <c r="S886" s="139">
        <v>0</v>
      </c>
      <c r="T886" s="322">
        <f t="shared" si="181"/>
        <v>0</v>
      </c>
      <c r="U886" s="140" t="str">
        <f t="shared" si="182"/>
        <v/>
      </c>
      <c r="V886" s="322">
        <f t="shared" si="191"/>
        <v>0</v>
      </c>
      <c r="W886" s="140" t="str">
        <f t="shared" si="183"/>
        <v/>
      </c>
      <c r="X886" s="322">
        <f t="shared" si="184"/>
        <v>0</v>
      </c>
      <c r="Y886" s="140" t="str">
        <f t="shared" si="185"/>
        <v/>
      </c>
      <c r="Z886" s="519">
        <v>0</v>
      </c>
      <c r="AA886" s="111">
        <f t="shared" si="192"/>
        <v>0</v>
      </c>
      <c r="AB886" s="111">
        <f t="shared" si="193"/>
        <v>0</v>
      </c>
    </row>
    <row r="887" spans="1:28" ht="36.75" customHeight="1">
      <c r="A887" s="118" t="s">
        <v>3065</v>
      </c>
      <c r="B887" s="124" t="s">
        <v>474</v>
      </c>
      <c r="C887" s="101" t="s">
        <v>3189</v>
      </c>
      <c r="D887" s="101" t="s">
        <v>3185</v>
      </c>
      <c r="E887" s="554" t="s">
        <v>3066</v>
      </c>
      <c r="F887" s="534" t="s">
        <v>3479</v>
      </c>
      <c r="G887" s="555"/>
      <c r="H887" s="555"/>
      <c r="I887" s="556"/>
      <c r="J887" s="557"/>
      <c r="K887" s="558"/>
      <c r="L887" s="95"/>
      <c r="M887" s="104"/>
      <c r="N887" s="137">
        <v>0</v>
      </c>
      <c r="O887" s="138">
        <v>0</v>
      </c>
      <c r="P887" s="138">
        <v>0</v>
      </c>
      <c r="Q887" s="138">
        <v>0</v>
      </c>
      <c r="R887" s="138">
        <v>0</v>
      </c>
      <c r="S887" s="139">
        <v>0</v>
      </c>
      <c r="T887" s="322">
        <f t="shared" si="181"/>
        <v>0</v>
      </c>
      <c r="U887" s="140" t="str">
        <f t="shared" si="182"/>
        <v/>
      </c>
      <c r="V887" s="322">
        <f t="shared" si="191"/>
        <v>0</v>
      </c>
      <c r="W887" s="140" t="str">
        <f t="shared" si="183"/>
        <v/>
      </c>
      <c r="X887" s="322">
        <f t="shared" si="184"/>
        <v>0</v>
      </c>
      <c r="Y887" s="140" t="str">
        <f t="shared" si="185"/>
        <v/>
      </c>
      <c r="Z887" s="519">
        <v>0</v>
      </c>
      <c r="AA887" s="111">
        <f t="shared" si="192"/>
        <v>0</v>
      </c>
      <c r="AB887" s="111">
        <f t="shared" si="193"/>
        <v>0</v>
      </c>
    </row>
    <row r="888" spans="1:28" ht="24.75" customHeight="1">
      <c r="A888" s="116" t="s">
        <v>3480</v>
      </c>
      <c r="B888" s="126" t="s">
        <v>474</v>
      </c>
      <c r="C888" s="98" t="s">
        <v>3189</v>
      </c>
      <c r="D888" s="98" t="s">
        <v>3183</v>
      </c>
      <c r="E888" s="540" t="s">
        <v>3481</v>
      </c>
      <c r="F888" s="540" t="s">
        <v>3482</v>
      </c>
      <c r="G888" s="555" t="s">
        <v>322</v>
      </c>
      <c r="H888" s="555" t="s">
        <v>3483</v>
      </c>
      <c r="I888" s="556" t="s">
        <v>3484</v>
      </c>
      <c r="J888" s="557" t="s">
        <v>3544</v>
      </c>
      <c r="K888" s="558" t="s">
        <v>3545</v>
      </c>
      <c r="L888" s="95"/>
      <c r="M888" s="104"/>
      <c r="N888" s="137">
        <v>0</v>
      </c>
      <c r="O888" s="138">
        <v>0</v>
      </c>
      <c r="P888" s="138">
        <v>0</v>
      </c>
      <c r="Q888" s="138">
        <v>0</v>
      </c>
      <c r="R888" s="138">
        <v>0</v>
      </c>
      <c r="S888" s="139">
        <v>0</v>
      </c>
      <c r="T888" s="322">
        <f t="shared" si="181"/>
        <v>0</v>
      </c>
      <c r="U888" s="140" t="str">
        <f t="shared" si="182"/>
        <v/>
      </c>
      <c r="V888" s="322">
        <f t="shared" si="191"/>
        <v>0</v>
      </c>
      <c r="W888" s="140" t="str">
        <f t="shared" si="183"/>
        <v/>
      </c>
      <c r="X888" s="322">
        <f t="shared" si="184"/>
        <v>0</v>
      </c>
      <c r="Y888" s="140" t="str">
        <f t="shared" si="185"/>
        <v/>
      </c>
      <c r="Z888" s="519">
        <v>0</v>
      </c>
      <c r="AA888" s="111">
        <f t="shared" si="192"/>
        <v>0</v>
      </c>
      <c r="AB888" s="111">
        <f t="shared" si="193"/>
        <v>0</v>
      </c>
    </row>
    <row r="889" spans="1:28" ht="36.75" customHeight="1">
      <c r="A889" s="116" t="s">
        <v>3485</v>
      </c>
      <c r="B889" s="126" t="s">
        <v>474</v>
      </c>
      <c r="C889" s="98" t="s">
        <v>3189</v>
      </c>
      <c r="D889" s="98" t="s">
        <v>3193</v>
      </c>
      <c r="E889" s="540" t="s">
        <v>3486</v>
      </c>
      <c r="F889" s="540" t="s">
        <v>3487</v>
      </c>
      <c r="G889" s="555" t="s">
        <v>86</v>
      </c>
      <c r="H889" s="555" t="s">
        <v>3488</v>
      </c>
      <c r="I889" s="556" t="s">
        <v>3489</v>
      </c>
      <c r="J889" s="557" t="s">
        <v>3490</v>
      </c>
      <c r="K889" s="558" t="s">
        <v>3546</v>
      </c>
      <c r="L889" s="95"/>
      <c r="M889" s="104"/>
      <c r="N889" s="137">
        <v>47301.3</v>
      </c>
      <c r="O889" s="138">
        <v>63068</v>
      </c>
      <c r="P889" s="317">
        <v>81043.990000000005</v>
      </c>
      <c r="Q889" s="317">
        <v>47301.3</v>
      </c>
      <c r="R889" s="317">
        <v>0</v>
      </c>
      <c r="S889" s="317">
        <v>0</v>
      </c>
      <c r="T889" s="322">
        <f t="shared" si="181"/>
        <v>0</v>
      </c>
      <c r="U889" s="140">
        <f t="shared" si="182"/>
        <v>0</v>
      </c>
      <c r="V889" s="322">
        <f t="shared" si="191"/>
        <v>-15766.699999999997</v>
      </c>
      <c r="W889" s="140">
        <f t="shared" si="183"/>
        <v>-0.24999524322952998</v>
      </c>
      <c r="X889" s="322">
        <f t="shared" si="184"/>
        <v>-33742.69</v>
      </c>
      <c r="Y889" s="140">
        <f t="shared" si="185"/>
        <v>-0.41635030555627878</v>
      </c>
      <c r="Z889" s="519">
        <v>47301</v>
      </c>
      <c r="AA889" s="111">
        <f t="shared" si="192"/>
        <v>63068</v>
      </c>
      <c r="AB889" s="111">
        <f t="shared" si="193"/>
        <v>17975.990000000005</v>
      </c>
    </row>
    <row r="890" spans="1:28" ht="24.75" customHeight="1">
      <c r="A890" s="116" t="s">
        <v>3491</v>
      </c>
      <c r="B890" s="126" t="s">
        <v>474</v>
      </c>
      <c r="C890" s="98" t="s">
        <v>3189</v>
      </c>
      <c r="D890" s="98" t="s">
        <v>2631</v>
      </c>
      <c r="E890" s="540" t="s">
        <v>3492</v>
      </c>
      <c r="F890" s="540" t="s">
        <v>3493</v>
      </c>
      <c r="G890" s="555" t="s">
        <v>88</v>
      </c>
      <c r="H890" s="555" t="s">
        <v>3042</v>
      </c>
      <c r="I890" s="556" t="s">
        <v>3043</v>
      </c>
      <c r="J890" s="557" t="s">
        <v>3044</v>
      </c>
      <c r="K890" s="558" t="s">
        <v>3547</v>
      </c>
      <c r="L890" s="95"/>
      <c r="M890" s="104"/>
      <c r="N890" s="137">
        <v>8100</v>
      </c>
      <c r="O890" s="138">
        <v>0</v>
      </c>
      <c r="P890" s="138">
        <v>0</v>
      </c>
      <c r="Q890" s="138">
        <v>0</v>
      </c>
      <c r="R890" s="138">
        <v>0</v>
      </c>
      <c r="S890" s="139">
        <v>0</v>
      </c>
      <c r="T890" s="322">
        <f t="shared" si="181"/>
        <v>-8100</v>
      </c>
      <c r="U890" s="140">
        <f t="shared" si="182"/>
        <v>-1</v>
      </c>
      <c r="V890" s="322">
        <f t="shared" si="191"/>
        <v>0</v>
      </c>
      <c r="W890" s="140" t="str">
        <f t="shared" si="183"/>
        <v/>
      </c>
      <c r="X890" s="322">
        <f t="shared" si="184"/>
        <v>0</v>
      </c>
      <c r="Y890" s="140" t="str">
        <f t="shared" si="185"/>
        <v/>
      </c>
      <c r="Z890" s="519">
        <v>10800</v>
      </c>
      <c r="AA890" s="111">
        <f t="shared" si="192"/>
        <v>14400</v>
      </c>
      <c r="AB890" s="111">
        <f t="shared" si="193"/>
        <v>-14400</v>
      </c>
    </row>
    <row r="891" spans="1:28" ht="24.75" customHeight="1">
      <c r="A891" s="116" t="s">
        <v>3494</v>
      </c>
      <c r="B891" s="126" t="s">
        <v>474</v>
      </c>
      <c r="C891" s="98" t="s">
        <v>3189</v>
      </c>
      <c r="D891" s="98" t="s">
        <v>1404</v>
      </c>
      <c r="E891" s="540" t="s">
        <v>3495</v>
      </c>
      <c r="F891" s="539" t="s">
        <v>3496</v>
      </c>
      <c r="G891" s="511" t="s">
        <v>90</v>
      </c>
      <c r="H891" s="511" t="s">
        <v>3497</v>
      </c>
      <c r="I891" s="544" t="s">
        <v>3498</v>
      </c>
      <c r="J891" s="542" t="s">
        <v>3499</v>
      </c>
      <c r="K891" s="543" t="s">
        <v>3548</v>
      </c>
      <c r="L891" s="95"/>
      <c r="M891" s="104"/>
      <c r="N891" s="137">
        <v>0</v>
      </c>
      <c r="O891" s="138">
        <v>0</v>
      </c>
      <c r="P891" s="138">
        <v>0</v>
      </c>
      <c r="Q891" s="138">
        <v>0</v>
      </c>
      <c r="R891" s="138">
        <v>0</v>
      </c>
      <c r="S891" s="139">
        <v>0</v>
      </c>
      <c r="T891" s="322">
        <f t="shared" ref="T891:T961" si="209">IF(N891="","",Q891-N891)</f>
        <v>0</v>
      </c>
      <c r="U891" s="140" t="str">
        <f t="shared" ref="U891:U961" si="210">IF(N891=0,"",T891/N891)</f>
        <v/>
      </c>
      <c r="V891" s="322">
        <f t="shared" si="191"/>
        <v>0</v>
      </c>
      <c r="W891" s="140" t="str">
        <f t="shared" ref="W891:W961" si="211">IF(O891=0,"",V891/O891)</f>
        <v/>
      </c>
      <c r="X891" s="322">
        <f t="shared" ref="X891:X961" si="212">IF(P891="","",Q891-P891)</f>
        <v>0</v>
      </c>
      <c r="Y891" s="140" t="str">
        <f t="shared" ref="Y891:Y961" si="213">IF(P891=0,"",X891/P891)</f>
        <v/>
      </c>
      <c r="Z891" s="519">
        <v>0</v>
      </c>
      <c r="AA891" s="111">
        <f t="shared" si="192"/>
        <v>0</v>
      </c>
      <c r="AB891" s="111">
        <f t="shared" si="193"/>
        <v>0</v>
      </c>
    </row>
    <row r="892" spans="1:28" ht="24.75" customHeight="1">
      <c r="A892" s="117" t="s">
        <v>3500</v>
      </c>
      <c r="B892" s="127" t="s">
        <v>474</v>
      </c>
      <c r="C892" s="99" t="s">
        <v>2867</v>
      </c>
      <c r="D892" s="99" t="s">
        <v>3185</v>
      </c>
      <c r="E892" s="534" t="s">
        <v>3501</v>
      </c>
      <c r="F892" s="590" t="s">
        <v>3502</v>
      </c>
      <c r="G892" s="511"/>
      <c r="H892" s="511"/>
      <c r="I892" s="544"/>
      <c r="J892" s="542"/>
      <c r="K892" s="543"/>
      <c r="L892" s="95"/>
      <c r="M892" s="104"/>
      <c r="N892" s="137">
        <v>0</v>
      </c>
      <c r="O892" s="138">
        <v>0</v>
      </c>
      <c r="P892" s="138">
        <v>0</v>
      </c>
      <c r="Q892" s="138">
        <v>0</v>
      </c>
      <c r="R892" s="138">
        <v>0</v>
      </c>
      <c r="S892" s="139">
        <v>0</v>
      </c>
      <c r="T892" s="322">
        <f t="shared" si="209"/>
        <v>0</v>
      </c>
      <c r="U892" s="140" t="str">
        <f t="shared" si="210"/>
        <v/>
      </c>
      <c r="V892" s="322">
        <f t="shared" si="191"/>
        <v>0</v>
      </c>
      <c r="W892" s="140" t="str">
        <f t="shared" si="211"/>
        <v/>
      </c>
      <c r="X892" s="322">
        <f t="shared" si="212"/>
        <v>0</v>
      </c>
      <c r="Y892" s="140" t="str">
        <f t="shared" si="213"/>
        <v/>
      </c>
      <c r="Z892" s="519">
        <v>0</v>
      </c>
      <c r="AA892" s="111">
        <f t="shared" si="192"/>
        <v>0</v>
      </c>
      <c r="AB892" s="111">
        <f t="shared" si="193"/>
        <v>0</v>
      </c>
    </row>
    <row r="893" spans="1:28" ht="18.75" customHeight="1">
      <c r="A893" s="116" t="s">
        <v>3503</v>
      </c>
      <c r="B893" s="126" t="s">
        <v>474</v>
      </c>
      <c r="C893" s="98" t="s">
        <v>2867</v>
      </c>
      <c r="D893" s="98" t="s">
        <v>3183</v>
      </c>
      <c r="E893" s="540" t="s">
        <v>3501</v>
      </c>
      <c r="F893" s="539" t="s">
        <v>3502</v>
      </c>
      <c r="G893" s="511" t="s">
        <v>92</v>
      </c>
      <c r="H893" s="511" t="s">
        <v>3504</v>
      </c>
      <c r="I893" s="544" t="s">
        <v>3505</v>
      </c>
      <c r="J893" s="542" t="s">
        <v>3549</v>
      </c>
      <c r="K893" s="543" t="s">
        <v>3551</v>
      </c>
      <c r="L893" s="95"/>
      <c r="M893" s="104"/>
      <c r="N893" s="309">
        <v>0</v>
      </c>
      <c r="O893" s="138">
        <v>0</v>
      </c>
      <c r="P893" s="138">
        <v>0</v>
      </c>
      <c r="Q893" s="138">
        <v>0</v>
      </c>
      <c r="R893" s="138">
        <v>0</v>
      </c>
      <c r="S893" s="139">
        <v>0</v>
      </c>
      <c r="T893" s="322">
        <f t="shared" si="209"/>
        <v>0</v>
      </c>
      <c r="U893" s="140" t="str">
        <f t="shared" si="210"/>
        <v/>
      </c>
      <c r="V893" s="322">
        <f t="shared" si="191"/>
        <v>0</v>
      </c>
      <c r="W893" s="140" t="str">
        <f t="shared" si="211"/>
        <v/>
      </c>
      <c r="X893" s="322">
        <f t="shared" si="212"/>
        <v>0</v>
      </c>
      <c r="Y893" s="140" t="str">
        <f t="shared" si="213"/>
        <v/>
      </c>
      <c r="Z893" s="519">
        <v>0</v>
      </c>
      <c r="AA893" s="111">
        <f t="shared" si="192"/>
        <v>0</v>
      </c>
      <c r="AB893" s="111">
        <f t="shared" si="193"/>
        <v>0</v>
      </c>
    </row>
    <row r="894" spans="1:28" ht="37.5" customHeight="1">
      <c r="A894" s="115" t="s">
        <v>3506</v>
      </c>
      <c r="B894" s="124" t="s">
        <v>474</v>
      </c>
      <c r="C894" s="101" t="s">
        <v>3190</v>
      </c>
      <c r="D894" s="101" t="s">
        <v>3185</v>
      </c>
      <c r="E894" s="534" t="s">
        <v>3507</v>
      </c>
      <c r="F894" s="554" t="s">
        <v>3508</v>
      </c>
      <c r="G894" s="555"/>
      <c r="H894" s="555"/>
      <c r="I894" s="556"/>
      <c r="J894" s="557"/>
      <c r="K894" s="558"/>
      <c r="L894" s="95"/>
      <c r="M894" s="104"/>
      <c r="N894" s="137">
        <v>0</v>
      </c>
      <c r="O894" s="138">
        <v>0</v>
      </c>
      <c r="P894" s="138">
        <v>0</v>
      </c>
      <c r="Q894" s="138">
        <v>0</v>
      </c>
      <c r="R894" s="138">
        <v>0</v>
      </c>
      <c r="S894" s="139">
        <v>0</v>
      </c>
      <c r="T894" s="322">
        <f t="shared" si="209"/>
        <v>0</v>
      </c>
      <c r="U894" s="140" t="str">
        <f t="shared" si="210"/>
        <v/>
      </c>
      <c r="V894" s="322">
        <f t="shared" si="191"/>
        <v>0</v>
      </c>
      <c r="W894" s="140" t="str">
        <f t="shared" si="211"/>
        <v/>
      </c>
      <c r="X894" s="322">
        <f t="shared" si="212"/>
        <v>0</v>
      </c>
      <c r="Y894" s="140" t="str">
        <f t="shared" si="213"/>
        <v/>
      </c>
      <c r="Z894" s="519">
        <v>0</v>
      </c>
      <c r="AA894" s="111">
        <f t="shared" si="192"/>
        <v>0</v>
      </c>
      <c r="AB894" s="111">
        <f t="shared" si="193"/>
        <v>0</v>
      </c>
    </row>
    <row r="895" spans="1:28" ht="48.75" customHeight="1">
      <c r="A895" s="510" t="s">
        <v>5154</v>
      </c>
      <c r="B895" s="305" t="s">
        <v>474</v>
      </c>
      <c r="C895" s="306" t="s">
        <v>3190</v>
      </c>
      <c r="D895" s="306" t="s">
        <v>3099</v>
      </c>
      <c r="E895" s="561" t="s">
        <v>5155</v>
      </c>
      <c r="F895" s="561" t="s">
        <v>5373</v>
      </c>
      <c r="G895" s="548" t="s">
        <v>4678</v>
      </c>
      <c r="H895" s="548" t="s">
        <v>3512</v>
      </c>
      <c r="I895" s="549" t="s">
        <v>5156</v>
      </c>
      <c r="J895" s="550" t="s">
        <v>3514</v>
      </c>
      <c r="K895" s="551" t="s">
        <v>3554</v>
      </c>
      <c r="L895" s="95"/>
      <c r="M895" s="104"/>
      <c r="N895" s="137">
        <v>0</v>
      </c>
      <c r="O895" s="138">
        <v>0</v>
      </c>
      <c r="P895" s="138">
        <v>0</v>
      </c>
      <c r="Q895" s="138">
        <v>0</v>
      </c>
      <c r="R895" s="138">
        <v>0</v>
      </c>
      <c r="S895" s="139">
        <v>0</v>
      </c>
      <c r="T895" s="322">
        <f t="shared" ref="T895" si="214">IF(N895="","",Q895-N895)</f>
        <v>0</v>
      </c>
      <c r="U895" s="140" t="str">
        <f t="shared" ref="U895" si="215">IF(N895=0,"",T895/N895)</f>
        <v/>
      </c>
      <c r="V895" s="322">
        <f t="shared" si="191"/>
        <v>0</v>
      </c>
      <c r="W895" s="140" t="str">
        <f t="shared" ref="W895" si="216">IF(O895=0,"",V895/O895)</f>
        <v/>
      </c>
      <c r="X895" s="322">
        <f t="shared" ref="X895" si="217">IF(P895="","",Q895-P895)</f>
        <v>0</v>
      </c>
      <c r="Y895" s="140" t="str">
        <f t="shared" ref="Y895" si="218">IF(P895=0,"",X895/P895)</f>
        <v/>
      </c>
      <c r="Z895" s="519">
        <v>0</v>
      </c>
      <c r="AA895" s="111">
        <f t="shared" si="192"/>
        <v>0</v>
      </c>
      <c r="AB895" s="111">
        <f t="shared" si="193"/>
        <v>0</v>
      </c>
    </row>
    <row r="896" spans="1:28" ht="37.5" customHeight="1">
      <c r="A896" s="116" t="s">
        <v>3509</v>
      </c>
      <c r="B896" s="126" t="s">
        <v>474</v>
      </c>
      <c r="C896" s="98" t="s">
        <v>3190</v>
      </c>
      <c r="D896" s="98" t="s">
        <v>3183</v>
      </c>
      <c r="E896" s="540" t="s">
        <v>3510</v>
      </c>
      <c r="F896" s="540" t="s">
        <v>3511</v>
      </c>
      <c r="G896" s="555" t="s">
        <v>100</v>
      </c>
      <c r="H896" s="512" t="s">
        <v>3518</v>
      </c>
      <c r="I896" s="556" t="s">
        <v>3513</v>
      </c>
      <c r="J896" s="557" t="s">
        <v>3514</v>
      </c>
      <c r="K896" s="558" t="s">
        <v>3554</v>
      </c>
      <c r="L896" s="95"/>
      <c r="M896" s="104"/>
      <c r="N896" s="137">
        <v>0</v>
      </c>
      <c r="O896" s="138">
        <v>0</v>
      </c>
      <c r="P896" s="138">
        <v>0</v>
      </c>
      <c r="Q896" s="138">
        <v>0</v>
      </c>
      <c r="R896" s="138">
        <v>0</v>
      </c>
      <c r="S896" s="139">
        <v>0</v>
      </c>
      <c r="T896" s="322">
        <f t="shared" si="209"/>
        <v>0</v>
      </c>
      <c r="U896" s="140" t="str">
        <f t="shared" si="210"/>
        <v/>
      </c>
      <c r="V896" s="322">
        <f t="shared" si="191"/>
        <v>0</v>
      </c>
      <c r="W896" s="140" t="str">
        <f t="shared" si="211"/>
        <v/>
      </c>
      <c r="X896" s="322">
        <f t="shared" si="212"/>
        <v>0</v>
      </c>
      <c r="Y896" s="140" t="str">
        <f t="shared" si="213"/>
        <v/>
      </c>
      <c r="Z896" s="519">
        <v>0</v>
      </c>
      <c r="AA896" s="111">
        <f t="shared" si="192"/>
        <v>0</v>
      </c>
      <c r="AB896" s="111">
        <f t="shared" si="193"/>
        <v>0</v>
      </c>
    </row>
    <row r="897" spans="1:28" ht="37.5" customHeight="1">
      <c r="A897" s="116" t="s">
        <v>3515</v>
      </c>
      <c r="B897" s="126" t="s">
        <v>474</v>
      </c>
      <c r="C897" s="98" t="s">
        <v>3190</v>
      </c>
      <c r="D897" s="98" t="s">
        <v>2138</v>
      </c>
      <c r="E897" s="540" t="s">
        <v>3516</v>
      </c>
      <c r="F897" s="540" t="s">
        <v>3517</v>
      </c>
      <c r="G897" s="555" t="s">
        <v>101</v>
      </c>
      <c r="H897" s="512" t="s">
        <v>3297</v>
      </c>
      <c r="I897" s="556" t="s">
        <v>3292</v>
      </c>
      <c r="J897" s="557" t="s">
        <v>3514</v>
      </c>
      <c r="K897" s="558" t="s">
        <v>3554</v>
      </c>
      <c r="L897" s="95"/>
      <c r="M897" s="104"/>
      <c r="N897" s="137">
        <v>0</v>
      </c>
      <c r="O897" s="138">
        <v>0</v>
      </c>
      <c r="P897" s="138">
        <v>0</v>
      </c>
      <c r="Q897" s="138">
        <v>0</v>
      </c>
      <c r="R897" s="138">
        <v>0</v>
      </c>
      <c r="S897" s="139">
        <v>0</v>
      </c>
      <c r="T897" s="322">
        <f t="shared" si="209"/>
        <v>0</v>
      </c>
      <c r="U897" s="140" t="str">
        <f t="shared" si="210"/>
        <v/>
      </c>
      <c r="V897" s="322">
        <f t="shared" si="191"/>
        <v>0</v>
      </c>
      <c r="W897" s="140" t="str">
        <f t="shared" si="211"/>
        <v/>
      </c>
      <c r="X897" s="322">
        <f t="shared" si="212"/>
        <v>0</v>
      </c>
      <c r="Y897" s="140" t="str">
        <f t="shared" si="213"/>
        <v/>
      </c>
      <c r="Z897" s="519">
        <v>0</v>
      </c>
      <c r="AA897" s="111">
        <f t="shared" si="192"/>
        <v>0</v>
      </c>
      <c r="AB897" s="111">
        <f t="shared" si="193"/>
        <v>0</v>
      </c>
    </row>
    <row r="898" spans="1:28" ht="50.25" customHeight="1">
      <c r="A898" s="116" t="s">
        <v>3293</v>
      </c>
      <c r="B898" s="126" t="s">
        <v>474</v>
      </c>
      <c r="C898" s="98" t="s">
        <v>3190</v>
      </c>
      <c r="D898" s="98" t="s">
        <v>3193</v>
      </c>
      <c r="E898" s="540" t="s">
        <v>5374</v>
      </c>
      <c r="F898" s="540" t="s">
        <v>5375</v>
      </c>
      <c r="G898" s="555" t="s">
        <v>101</v>
      </c>
      <c r="H898" s="512" t="s">
        <v>3297</v>
      </c>
      <c r="I898" s="556" t="s">
        <v>3292</v>
      </c>
      <c r="J898" s="557" t="s">
        <v>3514</v>
      </c>
      <c r="K898" s="558" t="s">
        <v>3554</v>
      </c>
      <c r="L898" s="95"/>
      <c r="M898" s="104"/>
      <c r="N898" s="137">
        <v>0</v>
      </c>
      <c r="O898" s="138">
        <v>0</v>
      </c>
      <c r="P898" s="138">
        <v>0</v>
      </c>
      <c r="Q898" s="138">
        <v>0</v>
      </c>
      <c r="R898" s="138">
        <v>0</v>
      </c>
      <c r="S898" s="139">
        <v>0</v>
      </c>
      <c r="T898" s="322">
        <f t="shared" si="209"/>
        <v>0</v>
      </c>
      <c r="U898" s="140" t="str">
        <f t="shared" si="210"/>
        <v/>
      </c>
      <c r="V898" s="322">
        <f t="shared" si="191"/>
        <v>0</v>
      </c>
      <c r="W898" s="140" t="str">
        <f t="shared" si="211"/>
        <v/>
      </c>
      <c r="X898" s="322">
        <f t="shared" si="212"/>
        <v>0</v>
      </c>
      <c r="Y898" s="140" t="str">
        <f t="shared" si="213"/>
        <v/>
      </c>
      <c r="Z898" s="519">
        <v>0</v>
      </c>
      <c r="AA898" s="111">
        <f t="shared" si="192"/>
        <v>0</v>
      </c>
      <c r="AB898" s="111">
        <f t="shared" si="193"/>
        <v>0</v>
      </c>
    </row>
    <row r="899" spans="1:28" ht="37.5" customHeight="1">
      <c r="A899" s="116" t="s">
        <v>3294</v>
      </c>
      <c r="B899" s="126" t="s">
        <v>474</v>
      </c>
      <c r="C899" s="98" t="s">
        <v>3190</v>
      </c>
      <c r="D899" s="98" t="s">
        <v>2631</v>
      </c>
      <c r="E899" s="540" t="s">
        <v>3295</v>
      </c>
      <c r="F899" s="540" t="s">
        <v>3296</v>
      </c>
      <c r="G899" s="555" t="s">
        <v>102</v>
      </c>
      <c r="H899" s="512" t="s">
        <v>3302</v>
      </c>
      <c r="I899" s="556" t="s">
        <v>3298</v>
      </c>
      <c r="J899" s="557" t="s">
        <v>3514</v>
      </c>
      <c r="K899" s="558" t="s">
        <v>3554</v>
      </c>
      <c r="L899" s="95"/>
      <c r="M899" s="104"/>
      <c r="N899" s="137">
        <v>0</v>
      </c>
      <c r="O899" s="138">
        <v>0</v>
      </c>
      <c r="P899" s="138">
        <v>0</v>
      </c>
      <c r="Q899" s="138">
        <v>0</v>
      </c>
      <c r="R899" s="138">
        <v>0</v>
      </c>
      <c r="S899" s="139">
        <v>0</v>
      </c>
      <c r="T899" s="322">
        <f t="shared" si="209"/>
        <v>0</v>
      </c>
      <c r="U899" s="140" t="str">
        <f t="shared" si="210"/>
        <v/>
      </c>
      <c r="V899" s="322">
        <f t="shared" si="191"/>
        <v>0</v>
      </c>
      <c r="W899" s="140" t="str">
        <f t="shared" si="211"/>
        <v/>
      </c>
      <c r="X899" s="322">
        <f t="shared" si="212"/>
        <v>0</v>
      </c>
      <c r="Y899" s="140" t="str">
        <f t="shared" si="213"/>
        <v/>
      </c>
      <c r="Z899" s="519">
        <v>0</v>
      </c>
      <c r="AA899" s="111">
        <f t="shared" si="192"/>
        <v>0</v>
      </c>
      <c r="AB899" s="111">
        <f t="shared" si="193"/>
        <v>0</v>
      </c>
    </row>
    <row r="900" spans="1:28" ht="37.5" customHeight="1">
      <c r="A900" s="116" t="s">
        <v>3299</v>
      </c>
      <c r="B900" s="126" t="s">
        <v>474</v>
      </c>
      <c r="C900" s="98" t="s">
        <v>3190</v>
      </c>
      <c r="D900" s="98" t="s">
        <v>1404</v>
      </c>
      <c r="E900" s="540" t="s">
        <v>3300</v>
      </c>
      <c r="F900" s="539" t="s">
        <v>3301</v>
      </c>
      <c r="G900" s="511" t="s">
        <v>2134</v>
      </c>
      <c r="H900" s="512" t="s">
        <v>5157</v>
      </c>
      <c r="I900" s="544" t="s">
        <v>3303</v>
      </c>
      <c r="J900" s="542" t="s">
        <v>3514</v>
      </c>
      <c r="K900" s="543" t="s">
        <v>3554</v>
      </c>
      <c r="L900" s="95"/>
      <c r="M900" s="104"/>
      <c r="N900" s="137">
        <v>0</v>
      </c>
      <c r="O900" s="138">
        <v>0</v>
      </c>
      <c r="P900" s="138">
        <v>0</v>
      </c>
      <c r="Q900" s="138">
        <v>0</v>
      </c>
      <c r="R900" s="138">
        <v>0</v>
      </c>
      <c r="S900" s="139">
        <v>0</v>
      </c>
      <c r="T900" s="322">
        <f t="shared" si="209"/>
        <v>0</v>
      </c>
      <c r="U900" s="140" t="str">
        <f t="shared" si="210"/>
        <v/>
      </c>
      <c r="V900" s="322">
        <f t="shared" si="191"/>
        <v>0</v>
      </c>
      <c r="W900" s="140" t="str">
        <f t="shared" si="211"/>
        <v/>
      </c>
      <c r="X900" s="322">
        <f t="shared" si="212"/>
        <v>0</v>
      </c>
      <c r="Y900" s="140" t="str">
        <f t="shared" si="213"/>
        <v/>
      </c>
      <c r="Z900" s="519">
        <v>0</v>
      </c>
      <c r="AA900" s="111">
        <f t="shared" si="192"/>
        <v>0</v>
      </c>
      <c r="AB900" s="111">
        <f t="shared" si="193"/>
        <v>0</v>
      </c>
    </row>
    <row r="901" spans="1:28" ht="21">
      <c r="A901" s="113" t="s">
        <v>483</v>
      </c>
      <c r="B901" s="135" t="s">
        <v>484</v>
      </c>
      <c r="C901" s="136" t="s">
        <v>3184</v>
      </c>
      <c r="D901" s="136" t="s">
        <v>3185</v>
      </c>
      <c r="E901" s="529" t="s">
        <v>486</v>
      </c>
      <c r="F901" s="529" t="s">
        <v>485</v>
      </c>
      <c r="G901" s="530"/>
      <c r="H901" s="530"/>
      <c r="I901" s="531"/>
      <c r="J901" s="532"/>
      <c r="K901" s="533"/>
      <c r="L901" s="95"/>
      <c r="M901" s="147"/>
      <c r="N901" s="137">
        <v>0</v>
      </c>
      <c r="O901" s="138">
        <v>0</v>
      </c>
      <c r="P901" s="138">
        <v>0</v>
      </c>
      <c r="Q901" s="138">
        <v>0</v>
      </c>
      <c r="R901" s="138">
        <v>0</v>
      </c>
      <c r="S901" s="139">
        <v>0</v>
      </c>
      <c r="T901" s="322">
        <f t="shared" si="209"/>
        <v>0</v>
      </c>
      <c r="U901" s="140" t="str">
        <f t="shared" si="210"/>
        <v/>
      </c>
      <c r="V901" s="322">
        <f t="shared" si="191"/>
        <v>0</v>
      </c>
      <c r="W901" s="140" t="str">
        <f t="shared" si="211"/>
        <v/>
      </c>
      <c r="X901" s="322">
        <f t="shared" si="212"/>
        <v>0</v>
      </c>
      <c r="Y901" s="140" t="str">
        <f t="shared" si="213"/>
        <v/>
      </c>
      <c r="Z901" s="519">
        <v>0</v>
      </c>
      <c r="AA901" s="111">
        <f t="shared" si="192"/>
        <v>0</v>
      </c>
      <c r="AB901" s="111">
        <f t="shared" si="193"/>
        <v>0</v>
      </c>
    </row>
    <row r="902" spans="1:28" ht="36.75" customHeight="1">
      <c r="A902" s="115" t="s">
        <v>487</v>
      </c>
      <c r="B902" s="124" t="s">
        <v>484</v>
      </c>
      <c r="C902" s="101" t="s">
        <v>3186</v>
      </c>
      <c r="D902" s="101" t="s">
        <v>3185</v>
      </c>
      <c r="E902" s="534" t="s">
        <v>489</v>
      </c>
      <c r="F902" s="534" t="s">
        <v>488</v>
      </c>
      <c r="G902" s="555"/>
      <c r="H902" s="555"/>
      <c r="I902" s="556"/>
      <c r="J902" s="557"/>
      <c r="K902" s="558"/>
      <c r="L902" s="95"/>
      <c r="M902" s="104"/>
      <c r="N902" s="137">
        <v>0</v>
      </c>
      <c r="O902" s="138">
        <v>0</v>
      </c>
      <c r="P902" s="138">
        <v>0</v>
      </c>
      <c r="Q902" s="138">
        <v>0</v>
      </c>
      <c r="R902" s="138">
        <v>0</v>
      </c>
      <c r="S902" s="139">
        <v>0</v>
      </c>
      <c r="T902" s="322">
        <f t="shared" si="209"/>
        <v>0</v>
      </c>
      <c r="U902" s="140" t="str">
        <f t="shared" si="210"/>
        <v/>
      </c>
      <c r="V902" s="322">
        <f t="shared" si="191"/>
        <v>0</v>
      </c>
      <c r="W902" s="140" t="str">
        <f t="shared" si="211"/>
        <v/>
      </c>
      <c r="X902" s="322">
        <f t="shared" si="212"/>
        <v>0</v>
      </c>
      <c r="Y902" s="140" t="str">
        <f t="shared" si="213"/>
        <v/>
      </c>
      <c r="Z902" s="519">
        <v>0</v>
      </c>
      <c r="AA902" s="111">
        <f t="shared" si="192"/>
        <v>0</v>
      </c>
      <c r="AB902" s="111">
        <f t="shared" si="193"/>
        <v>0</v>
      </c>
    </row>
    <row r="903" spans="1:28" ht="36.75" customHeight="1">
      <c r="A903" s="114" t="s">
        <v>639</v>
      </c>
      <c r="B903" s="125" t="s">
        <v>484</v>
      </c>
      <c r="C903" s="97" t="s">
        <v>3186</v>
      </c>
      <c r="D903" s="97" t="s">
        <v>3193</v>
      </c>
      <c r="E903" s="540" t="s">
        <v>5579</v>
      </c>
      <c r="F903" s="540" t="s">
        <v>640</v>
      </c>
      <c r="G903" s="555" t="s">
        <v>1605</v>
      </c>
      <c r="H903" s="512" t="s">
        <v>5158</v>
      </c>
      <c r="I903" s="556" t="s">
        <v>3304</v>
      </c>
      <c r="J903" s="557" t="s">
        <v>3305</v>
      </c>
      <c r="K903" s="558" t="s">
        <v>3557</v>
      </c>
      <c r="L903" s="95"/>
      <c r="M903" s="104"/>
      <c r="N903" s="137">
        <v>598933.84</v>
      </c>
      <c r="O903" s="138">
        <v>1000</v>
      </c>
      <c r="P903" s="138">
        <v>598000</v>
      </c>
      <c r="Q903" s="138">
        <v>598000</v>
      </c>
      <c r="R903" s="138">
        <v>598000</v>
      </c>
      <c r="S903" s="139">
        <v>598000</v>
      </c>
      <c r="T903" s="322">
        <f t="shared" si="209"/>
        <v>-933.8399999999674</v>
      </c>
      <c r="U903" s="140">
        <f t="shared" si="210"/>
        <v>-1.55917054210857E-3</v>
      </c>
      <c r="V903" s="322">
        <f t="shared" si="191"/>
        <v>597000</v>
      </c>
      <c r="W903" s="140">
        <f t="shared" si="211"/>
        <v>597</v>
      </c>
      <c r="X903" s="322">
        <f t="shared" si="212"/>
        <v>0</v>
      </c>
      <c r="Y903" s="140">
        <f t="shared" si="213"/>
        <v>0</v>
      </c>
      <c r="Z903" s="519">
        <v>448500</v>
      </c>
      <c r="AA903" s="111">
        <f t="shared" si="192"/>
        <v>598000</v>
      </c>
      <c r="AB903" s="111">
        <f t="shared" si="193"/>
        <v>0</v>
      </c>
    </row>
    <row r="904" spans="1:28" ht="36.75" customHeight="1">
      <c r="A904" s="114" t="s">
        <v>1276</v>
      </c>
      <c r="B904" s="125" t="s">
        <v>484</v>
      </c>
      <c r="C904" s="97" t="s">
        <v>3186</v>
      </c>
      <c r="D904" s="97" t="s">
        <v>1397</v>
      </c>
      <c r="E904" s="540" t="s">
        <v>5580</v>
      </c>
      <c r="F904" s="540" t="s">
        <v>4601</v>
      </c>
      <c r="G904" s="555" t="s">
        <v>1590</v>
      </c>
      <c r="H904" s="555" t="s">
        <v>3306</v>
      </c>
      <c r="I904" s="556" t="s">
        <v>636</v>
      </c>
      <c r="J904" s="557" t="s">
        <v>3305</v>
      </c>
      <c r="K904" s="558" t="s">
        <v>3557</v>
      </c>
      <c r="L904" s="95"/>
      <c r="M904" s="104"/>
      <c r="N904" s="361">
        <v>18108000</v>
      </c>
      <c r="O904" s="318">
        <v>18108000</v>
      </c>
      <c r="P904" s="318">
        <v>16470000</v>
      </c>
      <c r="Q904" s="318">
        <v>15473000</v>
      </c>
      <c r="R904" s="318">
        <v>15473000</v>
      </c>
      <c r="S904" s="319">
        <v>15473000</v>
      </c>
      <c r="T904" s="322">
        <f t="shared" si="209"/>
        <v>-2635000</v>
      </c>
      <c r="U904" s="140">
        <f t="shared" si="210"/>
        <v>-0.14551579412414403</v>
      </c>
      <c r="V904" s="322">
        <f t="shared" si="191"/>
        <v>-2635000</v>
      </c>
      <c r="W904" s="140">
        <f t="shared" si="211"/>
        <v>-0.14551579412414403</v>
      </c>
      <c r="X904" s="322">
        <f t="shared" si="212"/>
        <v>-997000</v>
      </c>
      <c r="Y904" s="140">
        <f t="shared" si="213"/>
        <v>-6.053430479659988E-2</v>
      </c>
      <c r="Z904" s="519">
        <v>13581000</v>
      </c>
      <c r="AA904" s="111">
        <f t="shared" si="192"/>
        <v>18108000</v>
      </c>
      <c r="AB904" s="111">
        <f t="shared" si="193"/>
        <v>-1638000</v>
      </c>
    </row>
    <row r="905" spans="1:28" ht="36.75" customHeight="1">
      <c r="A905" s="116" t="s">
        <v>3307</v>
      </c>
      <c r="B905" s="126" t="s">
        <v>484</v>
      </c>
      <c r="C905" s="98" t="s">
        <v>3186</v>
      </c>
      <c r="D905" s="98" t="s">
        <v>1398</v>
      </c>
      <c r="E905" s="540" t="s">
        <v>5581</v>
      </c>
      <c r="F905" s="540" t="s">
        <v>3308</v>
      </c>
      <c r="G905" s="511" t="s">
        <v>1595</v>
      </c>
      <c r="H905" s="512" t="s">
        <v>2814</v>
      </c>
      <c r="I905" s="544" t="s">
        <v>2794</v>
      </c>
      <c r="J905" s="557" t="s">
        <v>3305</v>
      </c>
      <c r="K905" s="558" t="s">
        <v>3557</v>
      </c>
      <c r="L905" s="95"/>
      <c r="M905" s="104"/>
      <c r="N905" s="137">
        <v>0</v>
      </c>
      <c r="O905" s="138">
        <v>0</v>
      </c>
      <c r="P905" s="138">
        <v>0</v>
      </c>
      <c r="Q905" s="138">
        <v>0</v>
      </c>
      <c r="R905" s="138">
        <v>0</v>
      </c>
      <c r="S905" s="139">
        <v>0</v>
      </c>
      <c r="T905" s="322">
        <f t="shared" si="209"/>
        <v>0</v>
      </c>
      <c r="U905" s="140" t="str">
        <f t="shared" si="210"/>
        <v/>
      </c>
      <c r="V905" s="322">
        <f t="shared" ref="V905:V968" si="219">IF(O905="","",Q905-O905)</f>
        <v>0</v>
      </c>
      <c r="W905" s="140" t="str">
        <f t="shared" si="211"/>
        <v/>
      </c>
      <c r="X905" s="322">
        <f t="shared" si="212"/>
        <v>0</v>
      </c>
      <c r="Y905" s="140" t="str">
        <f t="shared" si="213"/>
        <v/>
      </c>
      <c r="Z905" s="519">
        <v>0</v>
      </c>
      <c r="AA905" s="111">
        <f t="shared" ref="AA905:AA968" si="220">Z905/3*4</f>
        <v>0</v>
      </c>
      <c r="AB905" s="111">
        <f t="shared" ref="AB905:AB968" si="221">P905-AA905</f>
        <v>0</v>
      </c>
    </row>
    <row r="906" spans="1:28" ht="27" customHeight="1">
      <c r="A906" s="114" t="s">
        <v>1277</v>
      </c>
      <c r="B906" s="125" t="s">
        <v>484</v>
      </c>
      <c r="C906" s="97" t="s">
        <v>3186</v>
      </c>
      <c r="D906" s="97" t="s">
        <v>2631</v>
      </c>
      <c r="E906" s="540" t="s">
        <v>2795</v>
      </c>
      <c r="F906" s="539" t="s">
        <v>5376</v>
      </c>
      <c r="G906" s="511" t="s">
        <v>799</v>
      </c>
      <c r="H906" s="511" t="s">
        <v>2796</v>
      </c>
      <c r="I906" s="556" t="s">
        <v>2797</v>
      </c>
      <c r="J906" s="557" t="s">
        <v>3305</v>
      </c>
      <c r="K906" s="558" t="s">
        <v>3557</v>
      </c>
      <c r="L906" s="95"/>
      <c r="M906" s="104"/>
      <c r="N906" s="137">
        <v>50863.13</v>
      </c>
      <c r="O906" s="138">
        <v>171300</v>
      </c>
      <c r="P906" s="138">
        <v>69000</v>
      </c>
      <c r="Q906" s="138">
        <v>69000</v>
      </c>
      <c r="R906" s="138">
        <v>69000</v>
      </c>
      <c r="S906" s="139">
        <v>69000</v>
      </c>
      <c r="T906" s="322">
        <f t="shared" si="209"/>
        <v>18136.870000000003</v>
      </c>
      <c r="U906" s="140">
        <f t="shared" si="210"/>
        <v>0.35658186981414641</v>
      </c>
      <c r="V906" s="322">
        <f t="shared" si="219"/>
        <v>-102300</v>
      </c>
      <c r="W906" s="140">
        <f t="shared" si="211"/>
        <v>-0.59719789842381787</v>
      </c>
      <c r="X906" s="322">
        <f t="shared" si="212"/>
        <v>0</v>
      </c>
      <c r="Y906" s="140">
        <f t="shared" si="213"/>
        <v>0</v>
      </c>
      <c r="Z906" s="519">
        <v>52500</v>
      </c>
      <c r="AA906" s="111">
        <f t="shared" si="220"/>
        <v>70000</v>
      </c>
      <c r="AB906" s="111">
        <f t="shared" si="221"/>
        <v>-1000</v>
      </c>
    </row>
    <row r="907" spans="1:28" ht="36.75" customHeight="1">
      <c r="A907" s="114" t="s">
        <v>1278</v>
      </c>
      <c r="B907" s="125" t="s">
        <v>484</v>
      </c>
      <c r="C907" s="97" t="s">
        <v>3186</v>
      </c>
      <c r="D907" s="97" t="s">
        <v>1404</v>
      </c>
      <c r="E907" s="540" t="s">
        <v>2798</v>
      </c>
      <c r="F907" s="540" t="s">
        <v>1279</v>
      </c>
      <c r="G907" s="512" t="s">
        <v>4727</v>
      </c>
      <c r="H907" s="512" t="s">
        <v>5159</v>
      </c>
      <c r="I907" s="556" t="s">
        <v>2799</v>
      </c>
      <c r="J907" s="557" t="s">
        <v>3305</v>
      </c>
      <c r="K907" s="558" t="s">
        <v>3557</v>
      </c>
      <c r="L907" s="95"/>
      <c r="M907" s="104"/>
      <c r="N907" s="137">
        <v>0</v>
      </c>
      <c r="O907" s="138">
        <v>0</v>
      </c>
      <c r="P907" s="138">
        <v>0</v>
      </c>
      <c r="Q907" s="138">
        <v>0</v>
      </c>
      <c r="R907" s="138">
        <v>0</v>
      </c>
      <c r="S907" s="139">
        <v>0</v>
      </c>
      <c r="T907" s="322">
        <f t="shared" si="209"/>
        <v>0</v>
      </c>
      <c r="U907" s="140" t="str">
        <f t="shared" si="210"/>
        <v/>
      </c>
      <c r="V907" s="322">
        <f t="shared" si="219"/>
        <v>0</v>
      </c>
      <c r="W907" s="140" t="str">
        <f t="shared" si="211"/>
        <v/>
      </c>
      <c r="X907" s="322">
        <f t="shared" si="212"/>
        <v>0</v>
      </c>
      <c r="Y907" s="140" t="str">
        <f t="shared" si="213"/>
        <v/>
      </c>
      <c r="Z907" s="519">
        <v>0</v>
      </c>
      <c r="AA907" s="111">
        <f t="shared" si="220"/>
        <v>0</v>
      </c>
      <c r="AB907" s="111">
        <f t="shared" si="221"/>
        <v>0</v>
      </c>
    </row>
    <row r="908" spans="1:28" ht="36.75" customHeight="1">
      <c r="A908" s="114" t="s">
        <v>1280</v>
      </c>
      <c r="B908" s="125" t="s">
        <v>484</v>
      </c>
      <c r="C908" s="97" t="s">
        <v>3186</v>
      </c>
      <c r="D908" s="97" t="s">
        <v>1372</v>
      </c>
      <c r="E908" s="540" t="s">
        <v>4602</v>
      </c>
      <c r="F908" s="540" t="s">
        <v>4603</v>
      </c>
      <c r="G908" s="555" t="s">
        <v>677</v>
      </c>
      <c r="H908" s="512" t="s">
        <v>5160</v>
      </c>
      <c r="I908" s="556" t="s">
        <v>2799</v>
      </c>
      <c r="J908" s="557" t="s">
        <v>3305</v>
      </c>
      <c r="K908" s="558" t="s">
        <v>3557</v>
      </c>
      <c r="L908" s="95"/>
      <c r="M908" s="104"/>
      <c r="N908" s="361">
        <v>8302000</v>
      </c>
      <c r="O908" s="318">
        <v>8147000</v>
      </c>
      <c r="P908" s="318">
        <v>8147000</v>
      </c>
      <c r="Q908" s="318">
        <v>8891000</v>
      </c>
      <c r="R908" s="318">
        <v>8891000</v>
      </c>
      <c r="S908" s="319">
        <v>8891000</v>
      </c>
      <c r="T908" s="322">
        <f t="shared" si="209"/>
        <v>589000</v>
      </c>
      <c r="U908" s="140">
        <f t="shared" si="210"/>
        <v>7.0946759816911592E-2</v>
      </c>
      <c r="V908" s="322">
        <f t="shared" si="219"/>
        <v>744000</v>
      </c>
      <c r="W908" s="140">
        <f t="shared" si="211"/>
        <v>9.1321959003314107E-2</v>
      </c>
      <c r="X908" s="322">
        <f t="shared" si="212"/>
        <v>744000</v>
      </c>
      <c r="Y908" s="140">
        <f t="shared" si="213"/>
        <v>9.1321959003314107E-2</v>
      </c>
      <c r="Z908" s="519">
        <v>6110250</v>
      </c>
      <c r="AA908" s="111">
        <f t="shared" si="220"/>
        <v>8147000</v>
      </c>
      <c r="AB908" s="111">
        <f t="shared" si="221"/>
        <v>0</v>
      </c>
    </row>
    <row r="909" spans="1:28" ht="27" customHeight="1">
      <c r="A909" s="114" t="s">
        <v>1281</v>
      </c>
      <c r="B909" s="125" t="s">
        <v>484</v>
      </c>
      <c r="C909" s="97" t="s">
        <v>3186</v>
      </c>
      <c r="D909" s="97" t="s">
        <v>1405</v>
      </c>
      <c r="E909" s="540" t="s">
        <v>1282</v>
      </c>
      <c r="F909" s="540" t="s">
        <v>5377</v>
      </c>
      <c r="G909" s="555" t="s">
        <v>350</v>
      </c>
      <c r="H909" s="555" t="s">
        <v>1514</v>
      </c>
      <c r="I909" s="556" t="s">
        <v>2800</v>
      </c>
      <c r="J909" s="557" t="s">
        <v>2801</v>
      </c>
      <c r="K909" s="558" t="s">
        <v>3561</v>
      </c>
      <c r="L909" s="95"/>
      <c r="M909" s="104"/>
      <c r="N909" s="137">
        <v>0</v>
      </c>
      <c r="O909" s="138">
        <v>0</v>
      </c>
      <c r="P909" s="138">
        <v>0</v>
      </c>
      <c r="Q909" s="138">
        <v>0</v>
      </c>
      <c r="R909" s="138">
        <v>0</v>
      </c>
      <c r="S909" s="139">
        <v>0</v>
      </c>
      <c r="T909" s="322">
        <f t="shared" si="209"/>
        <v>0</v>
      </c>
      <c r="U909" s="140" t="str">
        <f t="shared" si="210"/>
        <v/>
      </c>
      <c r="V909" s="322">
        <f t="shared" si="219"/>
        <v>0</v>
      </c>
      <c r="W909" s="140" t="str">
        <f t="shared" si="211"/>
        <v/>
      </c>
      <c r="X909" s="322">
        <f t="shared" si="212"/>
        <v>0</v>
      </c>
      <c r="Y909" s="140" t="str">
        <f t="shared" si="213"/>
        <v/>
      </c>
      <c r="Z909" s="519">
        <v>0</v>
      </c>
      <c r="AA909" s="111">
        <f t="shared" si="220"/>
        <v>0</v>
      </c>
      <c r="AB909" s="111">
        <f t="shared" si="221"/>
        <v>0</v>
      </c>
    </row>
    <row r="910" spans="1:28" ht="51" customHeight="1">
      <c r="A910" s="115" t="s">
        <v>1283</v>
      </c>
      <c r="B910" s="124" t="s">
        <v>484</v>
      </c>
      <c r="C910" s="101" t="s">
        <v>3187</v>
      </c>
      <c r="D910" s="101" t="s">
        <v>3185</v>
      </c>
      <c r="E910" s="534" t="s">
        <v>4604</v>
      </c>
      <c r="F910" s="534" t="s">
        <v>4605</v>
      </c>
      <c r="G910" s="555"/>
      <c r="H910" s="555"/>
      <c r="I910" s="556"/>
      <c r="J910" s="557"/>
      <c r="K910" s="558"/>
      <c r="L910" s="95"/>
      <c r="M910" s="104"/>
      <c r="N910" s="137">
        <v>0</v>
      </c>
      <c r="O910" s="138">
        <v>0</v>
      </c>
      <c r="P910" s="138">
        <v>0</v>
      </c>
      <c r="Q910" s="138">
        <v>0</v>
      </c>
      <c r="R910" s="138">
        <v>0</v>
      </c>
      <c r="S910" s="139">
        <v>0</v>
      </c>
      <c r="T910" s="322">
        <f t="shared" si="209"/>
        <v>0</v>
      </c>
      <c r="U910" s="140" t="str">
        <f t="shared" si="210"/>
        <v/>
      </c>
      <c r="V910" s="322">
        <f t="shared" si="219"/>
        <v>0</v>
      </c>
      <c r="W910" s="140" t="str">
        <f t="shared" si="211"/>
        <v/>
      </c>
      <c r="X910" s="322">
        <f t="shared" si="212"/>
        <v>0</v>
      </c>
      <c r="Y910" s="140" t="str">
        <f t="shared" si="213"/>
        <v/>
      </c>
      <c r="Z910" s="519">
        <v>0</v>
      </c>
      <c r="AA910" s="111">
        <f t="shared" si="220"/>
        <v>0</v>
      </c>
      <c r="AB910" s="111">
        <f t="shared" si="221"/>
        <v>0</v>
      </c>
    </row>
    <row r="911" spans="1:28" ht="56.25" customHeight="1">
      <c r="A911" s="114" t="s">
        <v>325</v>
      </c>
      <c r="B911" s="125" t="s">
        <v>484</v>
      </c>
      <c r="C911" s="97" t="s">
        <v>3187</v>
      </c>
      <c r="D911" s="97" t="s">
        <v>3193</v>
      </c>
      <c r="E911" s="540" t="s">
        <v>5582</v>
      </c>
      <c r="F911" s="540" t="s">
        <v>4564</v>
      </c>
      <c r="G911" s="512" t="s">
        <v>4719</v>
      </c>
      <c r="H911" s="512" t="s">
        <v>5161</v>
      </c>
      <c r="I911" s="556" t="s">
        <v>3304</v>
      </c>
      <c r="J911" s="557" t="s">
        <v>3305</v>
      </c>
      <c r="K911" s="558" t="s">
        <v>3557</v>
      </c>
      <c r="L911" s="95"/>
      <c r="M911" s="104"/>
      <c r="N911" s="137">
        <v>445850.15</v>
      </c>
      <c r="O911" s="138">
        <v>360000</v>
      </c>
      <c r="P911" s="138">
        <v>360000</v>
      </c>
      <c r="Q911" s="138">
        <v>360000</v>
      </c>
      <c r="R911" s="138">
        <v>360000</v>
      </c>
      <c r="S911" s="139">
        <v>360000</v>
      </c>
      <c r="T911" s="322">
        <f t="shared" si="209"/>
        <v>-85850.150000000023</v>
      </c>
      <c r="U911" s="140">
        <f t="shared" si="210"/>
        <v>-0.19255382105400215</v>
      </c>
      <c r="V911" s="322">
        <f t="shared" si="219"/>
        <v>0</v>
      </c>
      <c r="W911" s="140">
        <f t="shared" si="211"/>
        <v>0</v>
      </c>
      <c r="X911" s="322">
        <f t="shared" si="212"/>
        <v>0</v>
      </c>
      <c r="Y911" s="140">
        <f t="shared" si="213"/>
        <v>0</v>
      </c>
      <c r="Z911" s="519">
        <v>270000</v>
      </c>
      <c r="AA911" s="111">
        <f t="shared" si="220"/>
        <v>360000</v>
      </c>
      <c r="AB911" s="111">
        <f t="shared" si="221"/>
        <v>0</v>
      </c>
    </row>
    <row r="912" spans="1:28" ht="56.25" customHeight="1">
      <c r="A912" s="114" t="s">
        <v>2802</v>
      </c>
      <c r="B912" s="125" t="s">
        <v>484</v>
      </c>
      <c r="C912" s="97" t="s">
        <v>3187</v>
      </c>
      <c r="D912" s="97" t="s">
        <v>1398</v>
      </c>
      <c r="E912" s="559" t="s">
        <v>5583</v>
      </c>
      <c r="F912" s="540" t="s">
        <v>5378</v>
      </c>
      <c r="G912" s="555" t="s">
        <v>1598</v>
      </c>
      <c r="H912" s="512" t="s">
        <v>2811</v>
      </c>
      <c r="I912" s="556" t="s">
        <v>2804</v>
      </c>
      <c r="J912" s="557" t="s">
        <v>3305</v>
      </c>
      <c r="K912" s="558" t="s">
        <v>3557</v>
      </c>
      <c r="L912" s="95"/>
      <c r="M912" s="104"/>
      <c r="N912" s="361">
        <v>416000</v>
      </c>
      <c r="O912" s="318">
        <v>416000</v>
      </c>
      <c r="P912" s="318">
        <v>466000</v>
      </c>
      <c r="Q912" s="318">
        <v>544000</v>
      </c>
      <c r="R912" s="318">
        <v>544000</v>
      </c>
      <c r="S912" s="319">
        <v>544000</v>
      </c>
      <c r="T912" s="322">
        <f t="shared" si="209"/>
        <v>128000</v>
      </c>
      <c r="U912" s="140">
        <f t="shared" si="210"/>
        <v>0.30769230769230771</v>
      </c>
      <c r="V912" s="322">
        <f t="shared" si="219"/>
        <v>128000</v>
      </c>
      <c r="W912" s="140">
        <f t="shared" si="211"/>
        <v>0.30769230769230771</v>
      </c>
      <c r="X912" s="322">
        <f t="shared" si="212"/>
        <v>78000</v>
      </c>
      <c r="Y912" s="140">
        <f t="shared" si="213"/>
        <v>0.16738197424892703</v>
      </c>
      <c r="Z912" s="519">
        <v>312000</v>
      </c>
      <c r="AA912" s="111">
        <f t="shared" si="220"/>
        <v>416000</v>
      </c>
      <c r="AB912" s="111">
        <f t="shared" si="221"/>
        <v>50000</v>
      </c>
    </row>
    <row r="913" spans="1:28" ht="56.25" customHeight="1">
      <c r="A913" s="114" t="s">
        <v>2805</v>
      </c>
      <c r="B913" s="125" t="s">
        <v>484</v>
      </c>
      <c r="C913" s="97" t="s">
        <v>3187</v>
      </c>
      <c r="D913" s="97" t="s">
        <v>1399</v>
      </c>
      <c r="E913" s="559" t="s">
        <v>5584</v>
      </c>
      <c r="F913" s="540" t="s">
        <v>5379</v>
      </c>
      <c r="G913" s="555" t="s">
        <v>1597</v>
      </c>
      <c r="H913" s="512" t="s">
        <v>2803</v>
      </c>
      <c r="I913" s="556" t="s">
        <v>2807</v>
      </c>
      <c r="J913" s="557" t="s">
        <v>3305</v>
      </c>
      <c r="K913" s="558" t="s">
        <v>3557</v>
      </c>
      <c r="L913" s="95"/>
      <c r="M913" s="104"/>
      <c r="N913" s="361">
        <v>77000</v>
      </c>
      <c r="O913" s="318">
        <v>77000</v>
      </c>
      <c r="P913" s="318">
        <v>94000</v>
      </c>
      <c r="Q913" s="318">
        <v>117000</v>
      </c>
      <c r="R913" s="318">
        <v>117000</v>
      </c>
      <c r="S913" s="319">
        <v>117000</v>
      </c>
      <c r="T913" s="322">
        <f t="shared" si="209"/>
        <v>40000</v>
      </c>
      <c r="U913" s="140">
        <f t="shared" si="210"/>
        <v>0.51948051948051943</v>
      </c>
      <c r="V913" s="322">
        <f t="shared" si="219"/>
        <v>40000</v>
      </c>
      <c r="W913" s="140">
        <f t="shared" si="211"/>
        <v>0.51948051948051943</v>
      </c>
      <c r="X913" s="322">
        <f t="shared" si="212"/>
        <v>23000</v>
      </c>
      <c r="Y913" s="140">
        <f t="shared" si="213"/>
        <v>0.24468085106382978</v>
      </c>
      <c r="Z913" s="519">
        <v>57750</v>
      </c>
      <c r="AA913" s="111">
        <f t="shared" si="220"/>
        <v>77000</v>
      </c>
      <c r="AB913" s="111">
        <f t="shared" si="221"/>
        <v>17000</v>
      </c>
    </row>
    <row r="914" spans="1:28" ht="56.25" customHeight="1">
      <c r="A914" s="114" t="s">
        <v>2808</v>
      </c>
      <c r="B914" s="125" t="s">
        <v>484</v>
      </c>
      <c r="C914" s="97" t="s">
        <v>3187</v>
      </c>
      <c r="D914" s="97" t="s">
        <v>1400</v>
      </c>
      <c r="E914" s="559" t="s">
        <v>5585</v>
      </c>
      <c r="F914" s="540" t="s">
        <v>5380</v>
      </c>
      <c r="G914" s="555" t="s">
        <v>1592</v>
      </c>
      <c r="H914" s="512" t="s">
        <v>2809</v>
      </c>
      <c r="I914" s="556" t="s">
        <v>326</v>
      </c>
      <c r="J914" s="557" t="s">
        <v>3305</v>
      </c>
      <c r="K914" s="558" t="s">
        <v>3557</v>
      </c>
      <c r="L914" s="95"/>
      <c r="M914" s="104"/>
      <c r="N914" s="361">
        <v>4112000</v>
      </c>
      <c r="O914" s="318">
        <v>4112000</v>
      </c>
      <c r="P914" s="318">
        <v>4281000</v>
      </c>
      <c r="Q914" s="318">
        <v>4199000</v>
      </c>
      <c r="R914" s="318">
        <v>4199000</v>
      </c>
      <c r="S914" s="319">
        <v>4199000</v>
      </c>
      <c r="T914" s="322">
        <f t="shared" si="209"/>
        <v>87000</v>
      </c>
      <c r="U914" s="140">
        <f t="shared" si="210"/>
        <v>2.1157587548638133E-2</v>
      </c>
      <c r="V914" s="322">
        <f t="shared" si="219"/>
        <v>87000</v>
      </c>
      <c r="W914" s="140">
        <f t="shared" si="211"/>
        <v>2.1157587548638133E-2</v>
      </c>
      <c r="X914" s="322">
        <f t="shared" si="212"/>
        <v>-82000</v>
      </c>
      <c r="Y914" s="140">
        <f t="shared" si="213"/>
        <v>-1.9154403176827844E-2</v>
      </c>
      <c r="Z914" s="519">
        <v>3084000</v>
      </c>
      <c r="AA914" s="111">
        <f t="shared" si="220"/>
        <v>4112000</v>
      </c>
      <c r="AB914" s="111">
        <f t="shared" si="221"/>
        <v>169000</v>
      </c>
    </row>
    <row r="915" spans="1:28" ht="56.25" customHeight="1">
      <c r="A915" s="114" t="s">
        <v>2810</v>
      </c>
      <c r="B915" s="125" t="s">
        <v>484</v>
      </c>
      <c r="C915" s="97" t="s">
        <v>3187</v>
      </c>
      <c r="D915" s="97" t="s">
        <v>1401</v>
      </c>
      <c r="E915" s="559" t="s">
        <v>5586</v>
      </c>
      <c r="F915" s="540" t="s">
        <v>5381</v>
      </c>
      <c r="G915" s="555" t="s">
        <v>1599</v>
      </c>
      <c r="H915" s="512" t="s">
        <v>3154</v>
      </c>
      <c r="I915" s="556" t="s">
        <v>2812</v>
      </c>
      <c r="J915" s="557" t="s">
        <v>3305</v>
      </c>
      <c r="K915" s="558" t="s">
        <v>3557</v>
      </c>
      <c r="L915" s="95"/>
      <c r="M915" s="104"/>
      <c r="N915" s="361">
        <v>9000</v>
      </c>
      <c r="O915" s="318">
        <v>9000</v>
      </c>
      <c r="P915" s="318">
        <v>8000</v>
      </c>
      <c r="Q915" s="318">
        <v>8000</v>
      </c>
      <c r="R915" s="318">
        <v>8000</v>
      </c>
      <c r="S915" s="319">
        <v>8000</v>
      </c>
      <c r="T915" s="322">
        <f t="shared" si="209"/>
        <v>-1000</v>
      </c>
      <c r="U915" s="140">
        <f t="shared" si="210"/>
        <v>-0.1111111111111111</v>
      </c>
      <c r="V915" s="322">
        <f t="shared" si="219"/>
        <v>-1000</v>
      </c>
      <c r="W915" s="140">
        <f t="shared" si="211"/>
        <v>-0.1111111111111111</v>
      </c>
      <c r="X915" s="322">
        <f t="shared" si="212"/>
        <v>0</v>
      </c>
      <c r="Y915" s="140">
        <f t="shared" si="213"/>
        <v>0</v>
      </c>
      <c r="Z915" s="519">
        <v>6750</v>
      </c>
      <c r="AA915" s="111">
        <f t="shared" si="220"/>
        <v>9000</v>
      </c>
      <c r="AB915" s="111">
        <f t="shared" si="221"/>
        <v>-1000</v>
      </c>
    </row>
    <row r="916" spans="1:28" ht="56.25" customHeight="1">
      <c r="A916" s="114" t="s">
        <v>2813</v>
      </c>
      <c r="B916" s="125" t="s">
        <v>484</v>
      </c>
      <c r="C916" s="97" t="s">
        <v>3187</v>
      </c>
      <c r="D916" s="97" t="s">
        <v>1402</v>
      </c>
      <c r="E916" s="559" t="s">
        <v>5587</v>
      </c>
      <c r="F916" s="540" t="s">
        <v>5382</v>
      </c>
      <c r="G916" s="555" t="s">
        <v>1596</v>
      </c>
      <c r="H916" s="512" t="s">
        <v>2806</v>
      </c>
      <c r="I916" s="556" t="s">
        <v>3756</v>
      </c>
      <c r="J916" s="557" t="s">
        <v>3305</v>
      </c>
      <c r="K916" s="558" t="s">
        <v>3557</v>
      </c>
      <c r="L916" s="95"/>
      <c r="M916" s="104"/>
      <c r="N916" s="361">
        <v>2765000</v>
      </c>
      <c r="O916" s="318">
        <v>2765000</v>
      </c>
      <c r="P916" s="318">
        <v>3357000</v>
      </c>
      <c r="Q916" s="318">
        <v>2542000</v>
      </c>
      <c r="R916" s="318">
        <v>2542000</v>
      </c>
      <c r="S916" s="319">
        <v>2542000</v>
      </c>
      <c r="T916" s="322">
        <f t="shared" si="209"/>
        <v>-223000</v>
      </c>
      <c r="U916" s="140">
        <f t="shared" si="210"/>
        <v>-8.065099457504521E-2</v>
      </c>
      <c r="V916" s="322">
        <f t="shared" si="219"/>
        <v>-223000</v>
      </c>
      <c r="W916" s="140">
        <f t="shared" si="211"/>
        <v>-8.065099457504521E-2</v>
      </c>
      <c r="X916" s="322">
        <f t="shared" si="212"/>
        <v>-815000</v>
      </c>
      <c r="Y916" s="140">
        <f t="shared" si="213"/>
        <v>-0.24277628835269585</v>
      </c>
      <c r="Z916" s="519">
        <v>2073750</v>
      </c>
      <c r="AA916" s="111">
        <f t="shared" si="220"/>
        <v>2765000</v>
      </c>
      <c r="AB916" s="111">
        <f t="shared" si="221"/>
        <v>592000</v>
      </c>
    </row>
    <row r="917" spans="1:28" ht="56.25" customHeight="1">
      <c r="A917" s="114" t="s">
        <v>3757</v>
      </c>
      <c r="B917" s="125" t="s">
        <v>484</v>
      </c>
      <c r="C917" s="97" t="s">
        <v>3187</v>
      </c>
      <c r="D917" s="97" t="s">
        <v>1403</v>
      </c>
      <c r="E917" s="559" t="s">
        <v>5588</v>
      </c>
      <c r="F917" s="540" t="s">
        <v>5383</v>
      </c>
      <c r="G917" s="555" t="s">
        <v>1600</v>
      </c>
      <c r="H917" s="512" t="s">
        <v>3162</v>
      </c>
      <c r="I917" s="556" t="s">
        <v>3155</v>
      </c>
      <c r="J917" s="557" t="s">
        <v>3305</v>
      </c>
      <c r="K917" s="558" t="s">
        <v>3557</v>
      </c>
      <c r="L917" s="95"/>
      <c r="M917" s="104"/>
      <c r="N917" s="361">
        <v>4424000</v>
      </c>
      <c r="O917" s="318">
        <v>4424000</v>
      </c>
      <c r="P917" s="318">
        <v>5830000</v>
      </c>
      <c r="Q917" s="318">
        <v>5908000</v>
      </c>
      <c r="R917" s="318">
        <v>5908000</v>
      </c>
      <c r="S917" s="319">
        <v>5908000</v>
      </c>
      <c r="T917" s="322">
        <f t="shared" si="209"/>
        <v>1484000</v>
      </c>
      <c r="U917" s="140">
        <f t="shared" si="210"/>
        <v>0.33544303797468356</v>
      </c>
      <c r="V917" s="322">
        <f t="shared" si="219"/>
        <v>1484000</v>
      </c>
      <c r="W917" s="140">
        <f t="shared" si="211"/>
        <v>0.33544303797468356</v>
      </c>
      <c r="X917" s="322">
        <f t="shared" si="212"/>
        <v>78000</v>
      </c>
      <c r="Y917" s="140">
        <f t="shared" si="213"/>
        <v>1.3379073756432247E-2</v>
      </c>
      <c r="Z917" s="519">
        <v>3318000</v>
      </c>
      <c r="AA917" s="111">
        <f t="shared" si="220"/>
        <v>4424000</v>
      </c>
      <c r="AB917" s="111">
        <f t="shared" si="221"/>
        <v>1406000</v>
      </c>
    </row>
    <row r="918" spans="1:28" ht="56.25" customHeight="1">
      <c r="A918" s="114" t="s">
        <v>3156</v>
      </c>
      <c r="B918" s="125" t="s">
        <v>484</v>
      </c>
      <c r="C918" s="97" t="s">
        <v>3187</v>
      </c>
      <c r="D918" s="97" t="s">
        <v>3157</v>
      </c>
      <c r="E918" s="559" t="s">
        <v>5589</v>
      </c>
      <c r="F918" s="540" t="s">
        <v>5384</v>
      </c>
      <c r="G918" s="555" t="s">
        <v>1601</v>
      </c>
      <c r="H918" s="512" t="s">
        <v>5162</v>
      </c>
      <c r="I918" s="556" t="s">
        <v>3159</v>
      </c>
      <c r="J918" s="557" t="s">
        <v>3305</v>
      </c>
      <c r="K918" s="558" t="s">
        <v>3557</v>
      </c>
      <c r="L918" s="95"/>
      <c r="M918" s="104"/>
      <c r="N918" s="361">
        <v>0</v>
      </c>
      <c r="O918" s="318">
        <v>0</v>
      </c>
      <c r="P918" s="318">
        <v>0</v>
      </c>
      <c r="Q918" s="318">
        <v>0</v>
      </c>
      <c r="R918" s="318">
        <v>0</v>
      </c>
      <c r="S918" s="319">
        <v>0</v>
      </c>
      <c r="T918" s="322">
        <f t="shared" si="209"/>
        <v>0</v>
      </c>
      <c r="U918" s="140" t="str">
        <f t="shared" si="210"/>
        <v/>
      </c>
      <c r="V918" s="322">
        <f t="shared" si="219"/>
        <v>0</v>
      </c>
      <c r="W918" s="140" t="str">
        <f t="shared" si="211"/>
        <v/>
      </c>
      <c r="X918" s="322">
        <f t="shared" si="212"/>
        <v>0</v>
      </c>
      <c r="Y918" s="140" t="str">
        <f t="shared" si="213"/>
        <v/>
      </c>
      <c r="Z918" s="519">
        <v>0</v>
      </c>
      <c r="AA918" s="111">
        <f t="shared" si="220"/>
        <v>0</v>
      </c>
      <c r="AB918" s="111">
        <f t="shared" si="221"/>
        <v>0</v>
      </c>
    </row>
    <row r="919" spans="1:28" ht="56.25" customHeight="1">
      <c r="A919" s="114" t="s">
        <v>3160</v>
      </c>
      <c r="B919" s="125" t="s">
        <v>484</v>
      </c>
      <c r="C919" s="97" t="s">
        <v>3187</v>
      </c>
      <c r="D919" s="97" t="s">
        <v>3161</v>
      </c>
      <c r="E919" s="540" t="s">
        <v>4606</v>
      </c>
      <c r="F919" s="540" t="s">
        <v>4607</v>
      </c>
      <c r="G919" s="512" t="s">
        <v>4719</v>
      </c>
      <c r="H919" s="512" t="s">
        <v>5161</v>
      </c>
      <c r="I919" s="541" t="s">
        <v>5163</v>
      </c>
      <c r="J919" s="576" t="s">
        <v>3305</v>
      </c>
      <c r="K919" s="577" t="s">
        <v>3557</v>
      </c>
      <c r="L919" s="95"/>
      <c r="M919" s="104"/>
      <c r="N919" s="361">
        <v>480000</v>
      </c>
      <c r="O919" s="318">
        <v>480000</v>
      </c>
      <c r="P919" s="318">
        <v>505000</v>
      </c>
      <c r="Q919" s="318">
        <v>454000</v>
      </c>
      <c r="R919" s="318">
        <v>454000</v>
      </c>
      <c r="S919" s="319">
        <v>454000</v>
      </c>
      <c r="T919" s="322">
        <f t="shared" si="209"/>
        <v>-26000</v>
      </c>
      <c r="U919" s="140">
        <f t="shared" si="210"/>
        <v>-5.4166666666666669E-2</v>
      </c>
      <c r="V919" s="322">
        <f t="shared" si="219"/>
        <v>-26000</v>
      </c>
      <c r="W919" s="140">
        <f t="shared" si="211"/>
        <v>-5.4166666666666669E-2</v>
      </c>
      <c r="X919" s="322">
        <f t="shared" si="212"/>
        <v>-51000</v>
      </c>
      <c r="Y919" s="140">
        <f t="shared" si="213"/>
        <v>-0.100990099009901</v>
      </c>
      <c r="Z919" s="519">
        <v>360000</v>
      </c>
      <c r="AA919" s="111">
        <f t="shared" si="220"/>
        <v>480000</v>
      </c>
      <c r="AB919" s="111">
        <f t="shared" si="221"/>
        <v>25000</v>
      </c>
    </row>
    <row r="920" spans="1:28" ht="36.75" customHeight="1">
      <c r="A920" s="114" t="s">
        <v>327</v>
      </c>
      <c r="B920" s="125" t="s">
        <v>484</v>
      </c>
      <c r="C920" s="97" t="s">
        <v>3187</v>
      </c>
      <c r="D920" s="97" t="s">
        <v>2631</v>
      </c>
      <c r="E920" s="540" t="s">
        <v>4565</v>
      </c>
      <c r="F920" s="539" t="s">
        <v>5385</v>
      </c>
      <c r="G920" s="555" t="s">
        <v>799</v>
      </c>
      <c r="H920" s="555" t="s">
        <v>2796</v>
      </c>
      <c r="I920" s="556" t="s">
        <v>2797</v>
      </c>
      <c r="J920" s="542" t="s">
        <v>2801</v>
      </c>
      <c r="K920" s="543" t="s">
        <v>3561</v>
      </c>
      <c r="L920" s="95"/>
      <c r="M920" s="104"/>
      <c r="N920" s="137">
        <v>105265.23</v>
      </c>
      <c r="O920" s="138">
        <v>24000</v>
      </c>
      <c r="P920" s="138">
        <v>131000</v>
      </c>
      <c r="Q920" s="138">
        <v>131000</v>
      </c>
      <c r="R920" s="138">
        <v>131000</v>
      </c>
      <c r="S920" s="139">
        <v>131000</v>
      </c>
      <c r="T920" s="322">
        <f t="shared" si="209"/>
        <v>25734.770000000004</v>
      </c>
      <c r="U920" s="140">
        <f t="shared" si="210"/>
        <v>0.24447550249973335</v>
      </c>
      <c r="V920" s="322">
        <f t="shared" si="219"/>
        <v>107000</v>
      </c>
      <c r="W920" s="140">
        <f t="shared" si="211"/>
        <v>4.458333333333333</v>
      </c>
      <c r="X920" s="322">
        <f t="shared" si="212"/>
        <v>0</v>
      </c>
      <c r="Y920" s="140">
        <f t="shared" si="213"/>
        <v>0</v>
      </c>
      <c r="Z920" s="519">
        <v>97500</v>
      </c>
      <c r="AA920" s="111">
        <f t="shared" si="220"/>
        <v>130000</v>
      </c>
      <c r="AB920" s="111">
        <f t="shared" si="221"/>
        <v>1000</v>
      </c>
    </row>
    <row r="921" spans="1:28" ht="39" customHeight="1">
      <c r="A921" s="510" t="s">
        <v>5164</v>
      </c>
      <c r="B921" s="305" t="s">
        <v>484</v>
      </c>
      <c r="C921" s="306" t="s">
        <v>3187</v>
      </c>
      <c r="D921" s="306" t="s">
        <v>2834</v>
      </c>
      <c r="E921" s="561" t="s">
        <v>5165</v>
      </c>
      <c r="F921" s="561" t="s">
        <v>5386</v>
      </c>
      <c r="G921" s="548" t="s">
        <v>4713</v>
      </c>
      <c r="H921" s="548" t="s">
        <v>3158</v>
      </c>
      <c r="I921" s="549" t="s">
        <v>5166</v>
      </c>
      <c r="J921" s="550" t="s">
        <v>3305</v>
      </c>
      <c r="K921" s="551" t="s">
        <v>3557</v>
      </c>
      <c r="L921" s="95"/>
      <c r="M921" s="104"/>
      <c r="N921" s="137">
        <v>0</v>
      </c>
      <c r="O921" s="138">
        <v>0</v>
      </c>
      <c r="P921" s="138">
        <v>0</v>
      </c>
      <c r="Q921" s="138">
        <v>0</v>
      </c>
      <c r="R921" s="138">
        <v>0</v>
      </c>
      <c r="S921" s="139">
        <v>0</v>
      </c>
      <c r="T921" s="322">
        <f t="shared" ref="T921:T922" si="222">IF(N921="","",Q921-N921)</f>
        <v>0</v>
      </c>
      <c r="U921" s="140" t="str">
        <f t="shared" ref="U921:U922" si="223">IF(N921=0,"",T921/N921)</f>
        <v/>
      </c>
      <c r="V921" s="322">
        <f t="shared" si="219"/>
        <v>0</v>
      </c>
      <c r="W921" s="140" t="str">
        <f t="shared" ref="W921:W922" si="224">IF(O921=0,"",V921/O921)</f>
        <v/>
      </c>
      <c r="X921" s="322">
        <f t="shared" ref="X921:X922" si="225">IF(P921="","",Q921-P921)</f>
        <v>0</v>
      </c>
      <c r="Y921" s="140" t="str">
        <f t="shared" ref="Y921:Y922" si="226">IF(P921=0,"",X921/P921)</f>
        <v/>
      </c>
      <c r="Z921" s="519">
        <v>0</v>
      </c>
      <c r="AA921" s="111">
        <f t="shared" si="220"/>
        <v>0</v>
      </c>
      <c r="AB921" s="111">
        <f t="shared" si="221"/>
        <v>0</v>
      </c>
    </row>
    <row r="922" spans="1:28" ht="39" customHeight="1">
      <c r="A922" s="510" t="s">
        <v>5167</v>
      </c>
      <c r="B922" s="305" t="s">
        <v>484</v>
      </c>
      <c r="C922" s="306" t="s">
        <v>3187</v>
      </c>
      <c r="D922" s="306" t="s">
        <v>2835</v>
      </c>
      <c r="E922" s="561" t="s">
        <v>5168</v>
      </c>
      <c r="F922" s="561" t="s">
        <v>5387</v>
      </c>
      <c r="G922" s="548" t="s">
        <v>4715</v>
      </c>
      <c r="H922" s="548" t="s">
        <v>5169</v>
      </c>
      <c r="I922" s="549" t="s">
        <v>5170</v>
      </c>
      <c r="J922" s="550" t="s">
        <v>3305</v>
      </c>
      <c r="K922" s="551" t="s">
        <v>3557</v>
      </c>
      <c r="L922" s="95"/>
      <c r="M922" s="104"/>
      <c r="N922" s="137">
        <v>0</v>
      </c>
      <c r="O922" s="138">
        <v>0</v>
      </c>
      <c r="P922" s="138">
        <v>0</v>
      </c>
      <c r="Q922" s="138">
        <v>0</v>
      </c>
      <c r="R922" s="138">
        <v>0</v>
      </c>
      <c r="S922" s="139">
        <v>0</v>
      </c>
      <c r="T922" s="322">
        <f t="shared" si="222"/>
        <v>0</v>
      </c>
      <c r="U922" s="140" t="str">
        <f t="shared" si="223"/>
        <v/>
      </c>
      <c r="V922" s="322">
        <f t="shared" si="219"/>
        <v>0</v>
      </c>
      <c r="W922" s="140" t="str">
        <f t="shared" si="224"/>
        <v/>
      </c>
      <c r="X922" s="322">
        <f t="shared" si="225"/>
        <v>0</v>
      </c>
      <c r="Y922" s="140" t="str">
        <f t="shared" si="226"/>
        <v/>
      </c>
      <c r="Z922" s="519">
        <v>0</v>
      </c>
      <c r="AA922" s="111">
        <f t="shared" si="220"/>
        <v>0</v>
      </c>
      <c r="AB922" s="111">
        <f t="shared" si="221"/>
        <v>0</v>
      </c>
    </row>
    <row r="923" spans="1:28" ht="56.25" customHeight="1">
      <c r="A923" s="116" t="s">
        <v>1298</v>
      </c>
      <c r="B923" s="126" t="s">
        <v>484</v>
      </c>
      <c r="C923" s="98" t="s">
        <v>3187</v>
      </c>
      <c r="D923" s="98" t="s">
        <v>1404</v>
      </c>
      <c r="E923" s="540" t="s">
        <v>4608</v>
      </c>
      <c r="F923" s="540" t="s">
        <v>5983</v>
      </c>
      <c r="G923" s="512" t="s">
        <v>4727</v>
      </c>
      <c r="H923" s="512" t="s">
        <v>5159</v>
      </c>
      <c r="I923" s="544" t="s">
        <v>2799</v>
      </c>
      <c r="J923" s="542" t="s">
        <v>3305</v>
      </c>
      <c r="K923" s="543" t="s">
        <v>3557</v>
      </c>
      <c r="L923" s="95"/>
      <c r="M923" s="104"/>
      <c r="N923" s="137">
        <v>0</v>
      </c>
      <c r="O923" s="138">
        <v>0</v>
      </c>
      <c r="P923" s="138">
        <v>0</v>
      </c>
      <c r="Q923" s="138">
        <v>0</v>
      </c>
      <c r="R923" s="138">
        <v>0</v>
      </c>
      <c r="S923" s="139">
        <v>0</v>
      </c>
      <c r="T923" s="322">
        <f t="shared" si="209"/>
        <v>0</v>
      </c>
      <c r="U923" s="140" t="str">
        <f t="shared" si="210"/>
        <v/>
      </c>
      <c r="V923" s="322">
        <f t="shared" si="219"/>
        <v>0</v>
      </c>
      <c r="W923" s="140" t="str">
        <f t="shared" si="211"/>
        <v/>
      </c>
      <c r="X923" s="322">
        <f t="shared" si="212"/>
        <v>0</v>
      </c>
      <c r="Y923" s="140" t="str">
        <f t="shared" si="213"/>
        <v/>
      </c>
      <c r="Z923" s="519">
        <v>0</v>
      </c>
      <c r="AA923" s="111">
        <f t="shared" si="220"/>
        <v>0</v>
      </c>
      <c r="AB923" s="111">
        <f t="shared" si="221"/>
        <v>0</v>
      </c>
    </row>
    <row r="924" spans="1:28" ht="36.75" customHeight="1">
      <c r="A924" s="114" t="s">
        <v>1299</v>
      </c>
      <c r="B924" s="125" t="s">
        <v>484</v>
      </c>
      <c r="C924" s="97" t="s">
        <v>3187</v>
      </c>
      <c r="D924" s="97" t="s">
        <v>1372</v>
      </c>
      <c r="E924" s="540" t="s">
        <v>4609</v>
      </c>
      <c r="F924" s="540" t="s">
        <v>5952</v>
      </c>
      <c r="G924" s="555" t="s">
        <v>677</v>
      </c>
      <c r="H924" s="512" t="s">
        <v>5160</v>
      </c>
      <c r="I924" s="556" t="s">
        <v>2799</v>
      </c>
      <c r="J924" s="557" t="s">
        <v>3305</v>
      </c>
      <c r="K924" s="558" t="s">
        <v>3557</v>
      </c>
      <c r="L924" s="95"/>
      <c r="M924" s="104"/>
      <c r="N924" s="361">
        <v>4812000</v>
      </c>
      <c r="O924" s="318">
        <v>4301000</v>
      </c>
      <c r="P924" s="318">
        <v>4301000</v>
      </c>
      <c r="Q924" s="318">
        <v>6816000</v>
      </c>
      <c r="R924" s="318">
        <v>6816000</v>
      </c>
      <c r="S924" s="319">
        <v>6816000</v>
      </c>
      <c r="T924" s="322">
        <f t="shared" si="209"/>
        <v>2004000</v>
      </c>
      <c r="U924" s="140">
        <f t="shared" si="210"/>
        <v>0.41645885286783041</v>
      </c>
      <c r="V924" s="322">
        <f t="shared" si="219"/>
        <v>2515000</v>
      </c>
      <c r="W924" s="140">
        <f t="shared" si="211"/>
        <v>0.58474773308532901</v>
      </c>
      <c r="X924" s="322">
        <f t="shared" si="212"/>
        <v>2515000</v>
      </c>
      <c r="Y924" s="140">
        <f t="shared" si="213"/>
        <v>0.58474773308532901</v>
      </c>
      <c r="Z924" s="519">
        <v>3225750</v>
      </c>
      <c r="AA924" s="111">
        <f t="shared" si="220"/>
        <v>4301000</v>
      </c>
      <c r="AB924" s="111">
        <f t="shared" si="221"/>
        <v>0</v>
      </c>
    </row>
    <row r="925" spans="1:28" ht="36.75" customHeight="1">
      <c r="A925" s="114" t="s">
        <v>1300</v>
      </c>
      <c r="B925" s="125" t="s">
        <v>484</v>
      </c>
      <c r="C925" s="97" t="s">
        <v>3187</v>
      </c>
      <c r="D925" s="97" t="s">
        <v>1405</v>
      </c>
      <c r="E925" s="540" t="s">
        <v>4566</v>
      </c>
      <c r="F925" s="540" t="s">
        <v>4567</v>
      </c>
      <c r="G925" s="555" t="s">
        <v>350</v>
      </c>
      <c r="H925" s="555" t="s">
        <v>1514</v>
      </c>
      <c r="I925" s="556" t="s">
        <v>2800</v>
      </c>
      <c r="J925" s="557" t="s">
        <v>2801</v>
      </c>
      <c r="K925" s="558" t="s">
        <v>3561</v>
      </c>
      <c r="L925" s="95"/>
      <c r="M925" s="104"/>
      <c r="N925" s="137">
        <v>0</v>
      </c>
      <c r="O925" s="138">
        <v>0</v>
      </c>
      <c r="P925" s="138">
        <v>0</v>
      </c>
      <c r="Q925" s="138">
        <v>0</v>
      </c>
      <c r="R925" s="138">
        <v>0</v>
      </c>
      <c r="S925" s="139">
        <v>0</v>
      </c>
      <c r="T925" s="322">
        <f t="shared" si="209"/>
        <v>0</v>
      </c>
      <c r="U925" s="140" t="str">
        <f t="shared" si="210"/>
        <v/>
      </c>
      <c r="V925" s="322">
        <f t="shared" si="219"/>
        <v>0</v>
      </c>
      <c r="W925" s="140" t="str">
        <f t="shared" si="211"/>
        <v/>
      </c>
      <c r="X925" s="322">
        <f t="shared" si="212"/>
        <v>0</v>
      </c>
      <c r="Y925" s="140" t="str">
        <f t="shared" si="213"/>
        <v/>
      </c>
      <c r="Z925" s="519">
        <v>0</v>
      </c>
      <c r="AA925" s="111">
        <f t="shared" si="220"/>
        <v>0</v>
      </c>
      <c r="AB925" s="111">
        <f t="shared" si="221"/>
        <v>0</v>
      </c>
    </row>
    <row r="926" spans="1:28" ht="39" customHeight="1">
      <c r="A926" s="510" t="s">
        <v>5171</v>
      </c>
      <c r="B926" s="305" t="s">
        <v>484</v>
      </c>
      <c r="C926" s="306" t="s">
        <v>3187</v>
      </c>
      <c r="D926" s="306" t="s">
        <v>2291</v>
      </c>
      <c r="E926" s="561" t="s">
        <v>5229</v>
      </c>
      <c r="F926" s="561" t="s">
        <v>5388</v>
      </c>
      <c r="G926" s="548" t="s">
        <v>4705</v>
      </c>
      <c r="H926" s="548" t="s">
        <v>3309</v>
      </c>
      <c r="I926" s="549" t="s">
        <v>5172</v>
      </c>
      <c r="J926" s="550" t="s">
        <v>3305</v>
      </c>
      <c r="K926" s="551" t="s">
        <v>3557</v>
      </c>
      <c r="L926" s="95"/>
      <c r="M926" s="104"/>
      <c r="N926" s="137">
        <v>0</v>
      </c>
      <c r="O926" s="138">
        <v>0</v>
      </c>
      <c r="P926" s="138">
        <v>0</v>
      </c>
      <c r="Q926" s="138">
        <v>0</v>
      </c>
      <c r="R926" s="138">
        <v>0</v>
      </c>
      <c r="S926" s="139">
        <v>0</v>
      </c>
      <c r="T926" s="322">
        <f t="shared" ref="T926:T927" si="227">IF(N926="","",Q926-N926)</f>
        <v>0</v>
      </c>
      <c r="U926" s="140" t="str">
        <f t="shared" ref="U926:U927" si="228">IF(N926=0,"",T926/N926)</f>
        <v/>
      </c>
      <c r="V926" s="322">
        <f t="shared" si="219"/>
        <v>0</v>
      </c>
      <c r="W926" s="140" t="str">
        <f t="shared" ref="W926:W927" si="229">IF(O926=0,"",V926/O926)</f>
        <v/>
      </c>
      <c r="X926" s="322">
        <f t="shared" ref="X926:X927" si="230">IF(P926="","",Q926-P926)</f>
        <v>0</v>
      </c>
      <c r="Y926" s="140" t="str">
        <f t="shared" ref="Y926:Y927" si="231">IF(P926=0,"",X926/P926)</f>
        <v/>
      </c>
      <c r="Z926" s="519">
        <v>0</v>
      </c>
      <c r="AA926" s="111">
        <f t="shared" si="220"/>
        <v>0</v>
      </c>
      <c r="AB926" s="111">
        <f t="shared" si="221"/>
        <v>0</v>
      </c>
    </row>
    <row r="927" spans="1:28" ht="39" customHeight="1">
      <c r="A927" s="510" t="s">
        <v>5173</v>
      </c>
      <c r="B927" s="305" t="s">
        <v>484</v>
      </c>
      <c r="C927" s="306" t="s">
        <v>3187</v>
      </c>
      <c r="D927" s="306" t="s">
        <v>1694</v>
      </c>
      <c r="E927" s="561" t="s">
        <v>5174</v>
      </c>
      <c r="F927" s="561" t="s">
        <v>5590</v>
      </c>
      <c r="G927" s="548" t="s">
        <v>1605</v>
      </c>
      <c r="H927" s="548" t="s">
        <v>5175</v>
      </c>
      <c r="I927" s="549" t="s">
        <v>3304</v>
      </c>
      <c r="J927" s="550" t="s">
        <v>3305</v>
      </c>
      <c r="K927" s="551" t="s">
        <v>3557</v>
      </c>
      <c r="L927" s="95"/>
      <c r="M927" s="104"/>
      <c r="N927" s="137">
        <v>0</v>
      </c>
      <c r="O927" s="138">
        <v>0</v>
      </c>
      <c r="P927" s="138">
        <v>0</v>
      </c>
      <c r="Q927" s="138">
        <v>0</v>
      </c>
      <c r="R927" s="138">
        <v>0</v>
      </c>
      <c r="S927" s="139">
        <v>0</v>
      </c>
      <c r="T927" s="322">
        <f t="shared" si="227"/>
        <v>0</v>
      </c>
      <c r="U927" s="140" t="str">
        <f t="shared" si="228"/>
        <v/>
      </c>
      <c r="V927" s="322">
        <f t="shared" si="219"/>
        <v>0</v>
      </c>
      <c r="W927" s="140" t="str">
        <f t="shared" si="229"/>
        <v/>
      </c>
      <c r="X927" s="322">
        <f t="shared" si="230"/>
        <v>0</v>
      </c>
      <c r="Y927" s="140" t="str">
        <f t="shared" si="231"/>
        <v/>
      </c>
      <c r="Z927" s="519">
        <v>0</v>
      </c>
      <c r="AA927" s="111">
        <f t="shared" si="220"/>
        <v>0</v>
      </c>
      <c r="AB927" s="111">
        <f t="shared" si="221"/>
        <v>0</v>
      </c>
    </row>
    <row r="928" spans="1:28" ht="36.75" customHeight="1">
      <c r="A928" s="117" t="s">
        <v>3163</v>
      </c>
      <c r="B928" s="127" t="s">
        <v>484</v>
      </c>
      <c r="C928" s="99" t="s">
        <v>2866</v>
      </c>
      <c r="D928" s="99" t="s">
        <v>3185</v>
      </c>
      <c r="E928" s="534" t="s">
        <v>4568</v>
      </c>
      <c r="F928" s="534" t="s">
        <v>5389</v>
      </c>
      <c r="G928" s="511"/>
      <c r="H928" s="511"/>
      <c r="I928" s="544"/>
      <c r="J928" s="542"/>
      <c r="K928" s="543"/>
      <c r="L928" s="95"/>
      <c r="M928" s="104"/>
      <c r="N928" s="137">
        <v>0</v>
      </c>
      <c r="O928" s="138">
        <v>0</v>
      </c>
      <c r="P928" s="138">
        <v>0</v>
      </c>
      <c r="Q928" s="138">
        <v>0</v>
      </c>
      <c r="R928" s="138">
        <v>0</v>
      </c>
      <c r="S928" s="139">
        <v>0</v>
      </c>
      <c r="T928" s="322">
        <f t="shared" si="209"/>
        <v>0</v>
      </c>
      <c r="U928" s="140" t="str">
        <f t="shared" si="210"/>
        <v/>
      </c>
      <c r="V928" s="322">
        <f t="shared" si="219"/>
        <v>0</v>
      </c>
      <c r="W928" s="140" t="str">
        <f t="shared" si="211"/>
        <v/>
      </c>
      <c r="X928" s="322">
        <f t="shared" si="212"/>
        <v>0</v>
      </c>
      <c r="Y928" s="140" t="str">
        <f t="shared" si="213"/>
        <v/>
      </c>
      <c r="Z928" s="519">
        <v>0</v>
      </c>
      <c r="AA928" s="111">
        <f t="shared" si="220"/>
        <v>0</v>
      </c>
      <c r="AB928" s="111">
        <f t="shared" si="221"/>
        <v>0</v>
      </c>
    </row>
    <row r="929" spans="1:28" ht="36.75" customHeight="1">
      <c r="A929" s="116" t="s">
        <v>3164</v>
      </c>
      <c r="B929" s="126" t="s">
        <v>484</v>
      </c>
      <c r="C929" s="98" t="s">
        <v>2866</v>
      </c>
      <c r="D929" s="98" t="s">
        <v>3183</v>
      </c>
      <c r="E929" s="540" t="s">
        <v>4569</v>
      </c>
      <c r="F929" s="540" t="s">
        <v>5390</v>
      </c>
      <c r="G929" s="591" t="s">
        <v>680</v>
      </c>
      <c r="H929" s="592" t="s">
        <v>3165</v>
      </c>
      <c r="I929" s="556" t="s">
        <v>3166</v>
      </c>
      <c r="J929" s="542" t="s">
        <v>3305</v>
      </c>
      <c r="K929" s="543" t="s">
        <v>3557</v>
      </c>
      <c r="L929" s="95"/>
      <c r="M929" s="104"/>
      <c r="N929" s="137">
        <v>0</v>
      </c>
      <c r="O929" s="138">
        <v>0</v>
      </c>
      <c r="P929" s="138">
        <v>0</v>
      </c>
      <c r="Q929" s="138">
        <v>0</v>
      </c>
      <c r="R929" s="138">
        <v>0</v>
      </c>
      <c r="S929" s="139">
        <v>0</v>
      </c>
      <c r="T929" s="322">
        <f t="shared" si="209"/>
        <v>0</v>
      </c>
      <c r="U929" s="140" t="str">
        <f t="shared" si="210"/>
        <v/>
      </c>
      <c r="V929" s="322">
        <f t="shared" si="219"/>
        <v>0</v>
      </c>
      <c r="W929" s="140" t="str">
        <f t="shared" si="211"/>
        <v/>
      </c>
      <c r="X929" s="322">
        <f t="shared" si="212"/>
        <v>0</v>
      </c>
      <c r="Y929" s="140" t="str">
        <f t="shared" si="213"/>
        <v/>
      </c>
      <c r="Z929" s="519">
        <v>0</v>
      </c>
      <c r="AA929" s="111">
        <f t="shared" si="220"/>
        <v>0</v>
      </c>
      <c r="AB929" s="111">
        <f t="shared" si="221"/>
        <v>0</v>
      </c>
    </row>
    <row r="930" spans="1:28" ht="44.25" customHeight="1">
      <c r="A930" s="116" t="s">
        <v>3167</v>
      </c>
      <c r="B930" s="126" t="s">
        <v>484</v>
      </c>
      <c r="C930" s="98" t="s">
        <v>2866</v>
      </c>
      <c r="D930" s="98" t="s">
        <v>3193</v>
      </c>
      <c r="E930" s="540" t="s">
        <v>5232</v>
      </c>
      <c r="F930" s="540" t="s">
        <v>5391</v>
      </c>
      <c r="G930" s="591" t="s">
        <v>682</v>
      </c>
      <c r="H930" s="592" t="s">
        <v>3168</v>
      </c>
      <c r="I930" s="556" t="s">
        <v>3169</v>
      </c>
      <c r="J930" s="542" t="s">
        <v>3305</v>
      </c>
      <c r="K930" s="543" t="s">
        <v>3557</v>
      </c>
      <c r="L930" s="95"/>
      <c r="M930" s="104"/>
      <c r="N930" s="137">
        <v>0</v>
      </c>
      <c r="O930" s="138">
        <v>0</v>
      </c>
      <c r="P930" s="138">
        <v>0</v>
      </c>
      <c r="Q930" s="138">
        <v>0</v>
      </c>
      <c r="R930" s="138">
        <v>0</v>
      </c>
      <c r="S930" s="139">
        <v>0</v>
      </c>
      <c r="T930" s="322">
        <f t="shared" si="209"/>
        <v>0</v>
      </c>
      <c r="U930" s="140" t="str">
        <f t="shared" si="210"/>
        <v/>
      </c>
      <c r="V930" s="322">
        <f t="shared" si="219"/>
        <v>0</v>
      </c>
      <c r="W930" s="140" t="str">
        <f t="shared" si="211"/>
        <v/>
      </c>
      <c r="X930" s="322">
        <f t="shared" si="212"/>
        <v>0</v>
      </c>
      <c r="Y930" s="140" t="str">
        <f t="shared" si="213"/>
        <v/>
      </c>
      <c r="Z930" s="519">
        <v>0</v>
      </c>
      <c r="AA930" s="111">
        <f t="shared" si="220"/>
        <v>0</v>
      </c>
      <c r="AB930" s="111">
        <f t="shared" si="221"/>
        <v>0</v>
      </c>
    </row>
    <row r="931" spans="1:28" ht="47.25" customHeight="1">
      <c r="A931" s="510" t="s">
        <v>5176</v>
      </c>
      <c r="B931" s="305" t="s">
        <v>484</v>
      </c>
      <c r="C931" s="306" t="s">
        <v>2866</v>
      </c>
      <c r="D931" s="306" t="s">
        <v>1401</v>
      </c>
      <c r="E931" s="561" t="s">
        <v>5230</v>
      </c>
      <c r="F931" s="561" t="s">
        <v>5392</v>
      </c>
      <c r="G931" s="548" t="s">
        <v>4729</v>
      </c>
      <c r="H931" s="548" t="s">
        <v>5177</v>
      </c>
      <c r="I931" s="549" t="s">
        <v>5178</v>
      </c>
      <c r="J931" s="550" t="s">
        <v>3305</v>
      </c>
      <c r="K931" s="551" t="s">
        <v>3557</v>
      </c>
      <c r="L931" s="95"/>
      <c r="M931" s="104"/>
      <c r="N931" s="137">
        <v>0</v>
      </c>
      <c r="O931" s="138">
        <v>0</v>
      </c>
      <c r="P931" s="138">
        <v>0</v>
      </c>
      <c r="Q931" s="138">
        <v>0</v>
      </c>
      <c r="R931" s="138">
        <v>0</v>
      </c>
      <c r="S931" s="139">
        <v>0</v>
      </c>
      <c r="T931" s="322">
        <f t="shared" ref="T931:T932" si="232">IF(N931="","",Q931-N931)</f>
        <v>0</v>
      </c>
      <c r="U931" s="140" t="str">
        <f t="shared" ref="U931:U932" si="233">IF(N931=0,"",T931/N931)</f>
        <v/>
      </c>
      <c r="V931" s="322">
        <f t="shared" si="219"/>
        <v>0</v>
      </c>
      <c r="W931" s="140" t="str">
        <f t="shared" ref="W931:W932" si="234">IF(O931=0,"",V931/O931)</f>
        <v/>
      </c>
      <c r="X931" s="322">
        <f t="shared" ref="X931:X932" si="235">IF(P931="","",Q931-P931)</f>
        <v>0</v>
      </c>
      <c r="Y931" s="140" t="str">
        <f t="shared" ref="Y931:Y932" si="236">IF(P931=0,"",X931/P931)</f>
        <v/>
      </c>
      <c r="Z931" s="519">
        <v>0</v>
      </c>
      <c r="AA931" s="111">
        <f t="shared" si="220"/>
        <v>0</v>
      </c>
      <c r="AB931" s="111">
        <f t="shared" si="221"/>
        <v>0</v>
      </c>
    </row>
    <row r="932" spans="1:28" ht="48.75" customHeight="1">
      <c r="A932" s="510" t="s">
        <v>5179</v>
      </c>
      <c r="B932" s="305" t="s">
        <v>484</v>
      </c>
      <c r="C932" s="306" t="s">
        <v>2866</v>
      </c>
      <c r="D932" s="306" t="s">
        <v>2631</v>
      </c>
      <c r="E932" s="561" t="s">
        <v>5231</v>
      </c>
      <c r="F932" s="561" t="s">
        <v>5180</v>
      </c>
      <c r="G932" s="548" t="s">
        <v>684</v>
      </c>
      <c r="H932" s="548" t="s">
        <v>3618</v>
      </c>
      <c r="I932" s="549" t="s">
        <v>5181</v>
      </c>
      <c r="J932" s="550" t="s">
        <v>3305</v>
      </c>
      <c r="K932" s="551" t="s">
        <v>3557</v>
      </c>
      <c r="L932" s="95"/>
      <c r="M932" s="104"/>
      <c r="N932" s="137">
        <v>0</v>
      </c>
      <c r="O932" s="138">
        <v>0</v>
      </c>
      <c r="P932" s="138">
        <v>0</v>
      </c>
      <c r="Q932" s="138">
        <v>0</v>
      </c>
      <c r="R932" s="138">
        <v>0</v>
      </c>
      <c r="S932" s="139">
        <v>0</v>
      </c>
      <c r="T932" s="322">
        <f t="shared" si="232"/>
        <v>0</v>
      </c>
      <c r="U932" s="140" t="str">
        <f t="shared" si="233"/>
        <v/>
      </c>
      <c r="V932" s="322">
        <f t="shared" si="219"/>
        <v>0</v>
      </c>
      <c r="W932" s="140" t="str">
        <f t="shared" si="234"/>
        <v/>
      </c>
      <c r="X932" s="322">
        <f t="shared" si="235"/>
        <v>0</v>
      </c>
      <c r="Y932" s="140" t="str">
        <f t="shared" si="236"/>
        <v/>
      </c>
      <c r="Z932" s="519">
        <v>0</v>
      </c>
      <c r="AA932" s="111">
        <f t="shared" si="220"/>
        <v>0</v>
      </c>
      <c r="AB932" s="111">
        <f t="shared" si="221"/>
        <v>0</v>
      </c>
    </row>
    <row r="933" spans="1:28" ht="36.75" customHeight="1">
      <c r="A933" s="116" t="s">
        <v>3170</v>
      </c>
      <c r="B933" s="126" t="s">
        <v>484</v>
      </c>
      <c r="C933" s="98" t="s">
        <v>2866</v>
      </c>
      <c r="D933" s="98" t="s">
        <v>1404</v>
      </c>
      <c r="E933" s="540" t="s">
        <v>4570</v>
      </c>
      <c r="F933" s="540" t="s">
        <v>5591</v>
      </c>
      <c r="G933" s="591" t="s">
        <v>685</v>
      </c>
      <c r="H933" s="593" t="s">
        <v>5182</v>
      </c>
      <c r="I933" s="556" t="s">
        <v>3619</v>
      </c>
      <c r="J933" s="542" t="s">
        <v>3305</v>
      </c>
      <c r="K933" s="543" t="s">
        <v>3557</v>
      </c>
      <c r="L933" s="95"/>
      <c r="M933" s="104"/>
      <c r="N933" s="137">
        <v>0</v>
      </c>
      <c r="O933" s="138">
        <v>0</v>
      </c>
      <c r="P933" s="138">
        <v>0</v>
      </c>
      <c r="Q933" s="138">
        <v>0</v>
      </c>
      <c r="R933" s="138">
        <v>0</v>
      </c>
      <c r="S933" s="139">
        <v>0</v>
      </c>
      <c r="T933" s="322">
        <f t="shared" si="209"/>
        <v>0</v>
      </c>
      <c r="U933" s="140" t="str">
        <f t="shared" si="210"/>
        <v/>
      </c>
      <c r="V933" s="322">
        <f t="shared" si="219"/>
        <v>0</v>
      </c>
      <c r="W933" s="140" t="str">
        <f t="shared" si="211"/>
        <v/>
      </c>
      <c r="X933" s="322">
        <f t="shared" si="212"/>
        <v>0</v>
      </c>
      <c r="Y933" s="140" t="str">
        <f t="shared" si="213"/>
        <v/>
      </c>
      <c r="Z933" s="519">
        <v>0</v>
      </c>
      <c r="AA933" s="111">
        <f t="shared" si="220"/>
        <v>0</v>
      </c>
      <c r="AB933" s="111">
        <f t="shared" si="221"/>
        <v>0</v>
      </c>
    </row>
    <row r="934" spans="1:28" ht="27" customHeight="1">
      <c r="A934" s="115" t="s">
        <v>1301</v>
      </c>
      <c r="B934" s="124" t="s">
        <v>484</v>
      </c>
      <c r="C934" s="101" t="s">
        <v>3189</v>
      </c>
      <c r="D934" s="101" t="s">
        <v>3185</v>
      </c>
      <c r="E934" s="534" t="s">
        <v>1303</v>
      </c>
      <c r="F934" s="534" t="s">
        <v>1302</v>
      </c>
      <c r="G934" s="555"/>
      <c r="H934" s="555"/>
      <c r="I934" s="556"/>
      <c r="J934" s="557"/>
      <c r="K934" s="558"/>
      <c r="L934" s="95"/>
      <c r="M934" s="104"/>
      <c r="N934" s="137">
        <v>0</v>
      </c>
      <c r="O934" s="138">
        <v>0</v>
      </c>
      <c r="P934" s="138">
        <v>0</v>
      </c>
      <c r="Q934" s="138">
        <v>0</v>
      </c>
      <c r="R934" s="138">
        <v>0</v>
      </c>
      <c r="S934" s="139">
        <v>0</v>
      </c>
      <c r="T934" s="322">
        <f t="shared" si="209"/>
        <v>0</v>
      </c>
      <c r="U934" s="140" t="str">
        <f t="shared" si="210"/>
        <v/>
      </c>
      <c r="V934" s="322">
        <f t="shared" si="219"/>
        <v>0</v>
      </c>
      <c r="W934" s="140" t="str">
        <f t="shared" si="211"/>
        <v/>
      </c>
      <c r="X934" s="322">
        <f t="shared" si="212"/>
        <v>0</v>
      </c>
      <c r="Y934" s="140" t="str">
        <f t="shared" si="213"/>
        <v/>
      </c>
      <c r="Z934" s="519">
        <v>0</v>
      </c>
      <c r="AA934" s="111">
        <f t="shared" si="220"/>
        <v>0</v>
      </c>
      <c r="AB934" s="111">
        <f t="shared" si="221"/>
        <v>0</v>
      </c>
    </row>
    <row r="935" spans="1:28" ht="27" customHeight="1">
      <c r="A935" s="116" t="s">
        <v>1304</v>
      </c>
      <c r="B935" s="126" t="s">
        <v>484</v>
      </c>
      <c r="C935" s="98" t="s">
        <v>3189</v>
      </c>
      <c r="D935" s="98" t="s">
        <v>3193</v>
      </c>
      <c r="E935" s="540" t="s">
        <v>5592</v>
      </c>
      <c r="F935" s="540" t="s">
        <v>1305</v>
      </c>
      <c r="G935" s="591" t="s">
        <v>231</v>
      </c>
      <c r="H935" s="592" t="s">
        <v>3620</v>
      </c>
      <c r="I935" s="556" t="s">
        <v>1497</v>
      </c>
      <c r="J935" s="557" t="s">
        <v>3572</v>
      </c>
      <c r="K935" s="558" t="s">
        <v>3574</v>
      </c>
      <c r="L935" s="95"/>
      <c r="M935" s="104"/>
      <c r="N935" s="137">
        <v>0</v>
      </c>
      <c r="O935" s="138">
        <v>0</v>
      </c>
      <c r="P935" s="138">
        <v>0</v>
      </c>
      <c r="Q935" s="138">
        <v>0</v>
      </c>
      <c r="R935" s="138">
        <v>0</v>
      </c>
      <c r="S935" s="139">
        <v>0</v>
      </c>
      <c r="T935" s="322">
        <f t="shared" si="209"/>
        <v>0</v>
      </c>
      <c r="U935" s="140" t="str">
        <f t="shared" si="210"/>
        <v/>
      </c>
      <c r="V935" s="322">
        <f t="shared" si="219"/>
        <v>0</v>
      </c>
      <c r="W935" s="140" t="str">
        <f t="shared" si="211"/>
        <v/>
      </c>
      <c r="X935" s="322">
        <f t="shared" si="212"/>
        <v>0</v>
      </c>
      <c r="Y935" s="140" t="str">
        <f t="shared" si="213"/>
        <v/>
      </c>
      <c r="Z935" s="519">
        <v>0</v>
      </c>
      <c r="AA935" s="111">
        <f t="shared" si="220"/>
        <v>0</v>
      </c>
      <c r="AB935" s="111">
        <f t="shared" si="221"/>
        <v>0</v>
      </c>
    </row>
    <row r="936" spans="1:28" ht="27" customHeight="1">
      <c r="A936" s="116" t="s">
        <v>2038</v>
      </c>
      <c r="B936" s="126" t="s">
        <v>484</v>
      </c>
      <c r="C936" s="98" t="s">
        <v>3189</v>
      </c>
      <c r="D936" s="98" t="s">
        <v>2137</v>
      </c>
      <c r="E936" s="540" t="s">
        <v>2040</v>
      </c>
      <c r="F936" s="540" t="s">
        <v>2039</v>
      </c>
      <c r="G936" s="591" t="s">
        <v>231</v>
      </c>
      <c r="H936" s="592" t="s">
        <v>3620</v>
      </c>
      <c r="I936" s="556" t="s">
        <v>1497</v>
      </c>
      <c r="J936" s="557" t="s">
        <v>3572</v>
      </c>
      <c r="K936" s="558" t="s">
        <v>3574</v>
      </c>
      <c r="L936" s="95"/>
      <c r="M936" s="104"/>
      <c r="N936" s="137">
        <v>54500</v>
      </c>
      <c r="O936" s="138">
        <v>55000</v>
      </c>
      <c r="P936" s="138">
        <v>55000</v>
      </c>
      <c r="Q936" s="138">
        <v>55000</v>
      </c>
      <c r="R936" s="138">
        <v>55000</v>
      </c>
      <c r="S936" s="139">
        <v>55000</v>
      </c>
      <c r="T936" s="322">
        <f t="shared" si="209"/>
        <v>500</v>
      </c>
      <c r="U936" s="140">
        <f t="shared" si="210"/>
        <v>9.1743119266055051E-3</v>
      </c>
      <c r="V936" s="322">
        <f t="shared" si="219"/>
        <v>0</v>
      </c>
      <c r="W936" s="140">
        <f t="shared" si="211"/>
        <v>0</v>
      </c>
      <c r="X936" s="322">
        <f t="shared" si="212"/>
        <v>0</v>
      </c>
      <c r="Y936" s="140">
        <f t="shared" si="213"/>
        <v>0</v>
      </c>
      <c r="Z936" s="519">
        <v>41250</v>
      </c>
      <c r="AA936" s="111">
        <f t="shared" si="220"/>
        <v>55000</v>
      </c>
      <c r="AB936" s="111">
        <f t="shared" si="221"/>
        <v>0</v>
      </c>
    </row>
    <row r="937" spans="1:28" ht="16.5" customHeight="1">
      <c r="A937" s="117" t="s">
        <v>2041</v>
      </c>
      <c r="B937" s="127" t="s">
        <v>484</v>
      </c>
      <c r="C937" s="99" t="s">
        <v>3190</v>
      </c>
      <c r="D937" s="99" t="s">
        <v>3185</v>
      </c>
      <c r="E937" s="534" t="s">
        <v>2042</v>
      </c>
      <c r="F937" s="534" t="s">
        <v>1269</v>
      </c>
      <c r="G937" s="555"/>
      <c r="H937" s="555"/>
      <c r="I937" s="556"/>
      <c r="J937" s="557"/>
      <c r="K937" s="558"/>
      <c r="L937" s="95"/>
      <c r="M937" s="104"/>
      <c r="N937" s="137">
        <v>0</v>
      </c>
      <c r="O937" s="138">
        <v>0</v>
      </c>
      <c r="P937" s="138">
        <v>0</v>
      </c>
      <c r="Q937" s="138">
        <v>0</v>
      </c>
      <c r="R937" s="138">
        <v>0</v>
      </c>
      <c r="S937" s="139">
        <v>0</v>
      </c>
      <c r="T937" s="322">
        <f t="shared" si="209"/>
        <v>0</v>
      </c>
      <c r="U937" s="140" t="str">
        <f t="shared" si="210"/>
        <v/>
      </c>
      <c r="V937" s="322">
        <f t="shared" si="219"/>
        <v>0</v>
      </c>
      <c r="W937" s="140" t="str">
        <f t="shared" si="211"/>
        <v/>
      </c>
      <c r="X937" s="322">
        <f t="shared" si="212"/>
        <v>0</v>
      </c>
      <c r="Y937" s="140" t="str">
        <f t="shared" si="213"/>
        <v/>
      </c>
      <c r="Z937" s="519">
        <v>0</v>
      </c>
      <c r="AA937" s="111">
        <f t="shared" si="220"/>
        <v>0</v>
      </c>
      <c r="AB937" s="111">
        <f t="shared" si="221"/>
        <v>0</v>
      </c>
    </row>
    <row r="938" spans="1:28" ht="27" customHeight="1">
      <c r="A938" s="114" t="s">
        <v>2045</v>
      </c>
      <c r="B938" s="125" t="s">
        <v>484</v>
      </c>
      <c r="C938" s="97" t="s">
        <v>3190</v>
      </c>
      <c r="D938" s="97" t="s">
        <v>3193</v>
      </c>
      <c r="E938" s="540" t="s">
        <v>5593</v>
      </c>
      <c r="F938" s="540" t="s">
        <v>5393</v>
      </c>
      <c r="G938" s="555" t="s">
        <v>1605</v>
      </c>
      <c r="H938" s="512" t="s">
        <v>5158</v>
      </c>
      <c r="I938" s="556" t="s">
        <v>3304</v>
      </c>
      <c r="J938" s="542" t="s">
        <v>3305</v>
      </c>
      <c r="K938" s="543" t="s">
        <v>3557</v>
      </c>
      <c r="L938" s="95"/>
      <c r="M938" s="104"/>
      <c r="N938" s="137">
        <v>0</v>
      </c>
      <c r="O938" s="138">
        <v>0</v>
      </c>
      <c r="P938" s="138">
        <v>0</v>
      </c>
      <c r="Q938" s="138">
        <v>0</v>
      </c>
      <c r="R938" s="138">
        <v>0</v>
      </c>
      <c r="S938" s="139">
        <v>0</v>
      </c>
      <c r="T938" s="322">
        <f t="shared" si="209"/>
        <v>0</v>
      </c>
      <c r="U938" s="140" t="str">
        <f t="shared" si="210"/>
        <v/>
      </c>
      <c r="V938" s="322">
        <f t="shared" si="219"/>
        <v>0</v>
      </c>
      <c r="W938" s="140" t="str">
        <f t="shared" si="211"/>
        <v/>
      </c>
      <c r="X938" s="322">
        <f t="shared" si="212"/>
        <v>0</v>
      </c>
      <c r="Y938" s="140" t="str">
        <f t="shared" si="213"/>
        <v/>
      </c>
      <c r="Z938" s="519">
        <v>0</v>
      </c>
      <c r="AA938" s="111">
        <f t="shared" si="220"/>
        <v>0</v>
      </c>
      <c r="AB938" s="111">
        <f t="shared" si="221"/>
        <v>0</v>
      </c>
    </row>
    <row r="939" spans="1:28" ht="27" customHeight="1">
      <c r="A939" s="114" t="s">
        <v>2046</v>
      </c>
      <c r="B939" s="125" t="s">
        <v>484</v>
      </c>
      <c r="C939" s="97" t="s">
        <v>3190</v>
      </c>
      <c r="D939" s="97" t="s">
        <v>1397</v>
      </c>
      <c r="E939" s="540" t="s">
        <v>5594</v>
      </c>
      <c r="F939" s="540" t="s">
        <v>5394</v>
      </c>
      <c r="G939" s="555" t="s">
        <v>227</v>
      </c>
      <c r="H939" s="555" t="s">
        <v>3621</v>
      </c>
      <c r="I939" s="556" t="s">
        <v>2044</v>
      </c>
      <c r="J939" s="557" t="s">
        <v>3572</v>
      </c>
      <c r="K939" s="558" t="s">
        <v>3574</v>
      </c>
      <c r="L939" s="95"/>
      <c r="M939" s="104"/>
      <c r="N939" s="137">
        <v>0</v>
      </c>
      <c r="O939" s="138">
        <v>0</v>
      </c>
      <c r="P939" s="138">
        <v>0</v>
      </c>
      <c r="Q939" s="138">
        <v>0</v>
      </c>
      <c r="R939" s="138">
        <v>0</v>
      </c>
      <c r="S939" s="139">
        <v>0</v>
      </c>
      <c r="T939" s="322">
        <f t="shared" si="209"/>
        <v>0</v>
      </c>
      <c r="U939" s="140" t="str">
        <f t="shared" si="210"/>
        <v/>
      </c>
      <c r="V939" s="322">
        <f t="shared" si="219"/>
        <v>0</v>
      </c>
      <c r="W939" s="140" t="str">
        <f t="shared" si="211"/>
        <v/>
      </c>
      <c r="X939" s="322">
        <f t="shared" si="212"/>
        <v>0</v>
      </c>
      <c r="Y939" s="140" t="str">
        <f t="shared" si="213"/>
        <v/>
      </c>
      <c r="Z939" s="519">
        <v>0</v>
      </c>
      <c r="AA939" s="111">
        <f t="shared" si="220"/>
        <v>0</v>
      </c>
      <c r="AB939" s="111">
        <f t="shared" si="221"/>
        <v>0</v>
      </c>
    </row>
    <row r="940" spans="1:28" ht="15.75" customHeight="1">
      <c r="A940" s="114" t="s">
        <v>2047</v>
      </c>
      <c r="B940" s="125" t="s">
        <v>484</v>
      </c>
      <c r="C940" s="97" t="s">
        <v>3190</v>
      </c>
      <c r="D940" s="97" t="s">
        <v>2137</v>
      </c>
      <c r="E940" s="540" t="s">
        <v>2048</v>
      </c>
      <c r="F940" s="540" t="s">
        <v>5395</v>
      </c>
      <c r="G940" s="555" t="s">
        <v>350</v>
      </c>
      <c r="H940" s="555" t="s">
        <v>1514</v>
      </c>
      <c r="I940" s="556" t="s">
        <v>2800</v>
      </c>
      <c r="J940" s="557" t="s">
        <v>2801</v>
      </c>
      <c r="K940" s="558" t="s">
        <v>3561</v>
      </c>
      <c r="L940" s="95"/>
      <c r="M940" s="104"/>
      <c r="N940" s="137">
        <v>0</v>
      </c>
      <c r="O940" s="138">
        <v>0</v>
      </c>
      <c r="P940" s="138">
        <v>0</v>
      </c>
      <c r="Q940" s="138">
        <v>0</v>
      </c>
      <c r="R940" s="138">
        <v>0</v>
      </c>
      <c r="S940" s="139">
        <v>0</v>
      </c>
      <c r="T940" s="322">
        <f t="shared" si="209"/>
        <v>0</v>
      </c>
      <c r="U940" s="140" t="str">
        <f t="shared" si="210"/>
        <v/>
      </c>
      <c r="V940" s="322">
        <f t="shared" si="219"/>
        <v>0</v>
      </c>
      <c r="W940" s="140" t="str">
        <f t="shared" si="211"/>
        <v/>
      </c>
      <c r="X940" s="322">
        <f t="shared" si="212"/>
        <v>0</v>
      </c>
      <c r="Y940" s="140" t="str">
        <f t="shared" si="213"/>
        <v/>
      </c>
      <c r="Z940" s="519">
        <v>0</v>
      </c>
      <c r="AA940" s="111">
        <f t="shared" si="220"/>
        <v>0</v>
      </c>
      <c r="AB940" s="111">
        <f t="shared" si="221"/>
        <v>0</v>
      </c>
    </row>
    <row r="941" spans="1:28" ht="16.5" customHeight="1">
      <c r="A941" s="114" t="s">
        <v>2049</v>
      </c>
      <c r="B941" s="125" t="s">
        <v>484</v>
      </c>
      <c r="C941" s="97" t="s">
        <v>3190</v>
      </c>
      <c r="D941" s="97" t="s">
        <v>1380</v>
      </c>
      <c r="E941" s="540" t="s">
        <v>2050</v>
      </c>
      <c r="F941" s="540" t="s">
        <v>5396</v>
      </c>
      <c r="G941" s="555" t="s">
        <v>227</v>
      </c>
      <c r="H941" s="555" t="s">
        <v>3621</v>
      </c>
      <c r="I941" s="556" t="s">
        <v>2044</v>
      </c>
      <c r="J941" s="557" t="s">
        <v>3572</v>
      </c>
      <c r="K941" s="558" t="s">
        <v>3574</v>
      </c>
      <c r="L941" s="95"/>
      <c r="M941" s="104"/>
      <c r="N941" s="137">
        <v>760</v>
      </c>
      <c r="O941" s="138">
        <v>0</v>
      </c>
      <c r="P941" s="138">
        <v>0</v>
      </c>
      <c r="Q941" s="138">
        <v>0</v>
      </c>
      <c r="R941" s="138">
        <v>0</v>
      </c>
      <c r="S941" s="139">
        <v>0</v>
      </c>
      <c r="T941" s="322">
        <f t="shared" si="209"/>
        <v>-760</v>
      </c>
      <c r="U941" s="140">
        <f t="shared" si="210"/>
        <v>-1</v>
      </c>
      <c r="V941" s="322">
        <f t="shared" si="219"/>
        <v>0</v>
      </c>
      <c r="W941" s="140" t="str">
        <f t="shared" si="211"/>
        <v/>
      </c>
      <c r="X941" s="322">
        <f t="shared" si="212"/>
        <v>0</v>
      </c>
      <c r="Y941" s="140" t="str">
        <f t="shared" si="213"/>
        <v/>
      </c>
      <c r="Z941" s="519">
        <v>0</v>
      </c>
      <c r="AA941" s="111">
        <f t="shared" si="220"/>
        <v>0</v>
      </c>
      <c r="AB941" s="111">
        <f t="shared" si="221"/>
        <v>0</v>
      </c>
    </row>
    <row r="942" spans="1:28" ht="16.5" customHeight="1">
      <c r="A942" s="115" t="s">
        <v>2051</v>
      </c>
      <c r="B942" s="124" t="s">
        <v>484</v>
      </c>
      <c r="C942" s="101" t="s">
        <v>3191</v>
      </c>
      <c r="D942" s="101" t="s">
        <v>3185</v>
      </c>
      <c r="E942" s="554" t="s">
        <v>2053</v>
      </c>
      <c r="F942" s="534" t="s">
        <v>2052</v>
      </c>
      <c r="G942" s="555"/>
      <c r="H942" s="555"/>
      <c r="I942" s="556"/>
      <c r="J942" s="557"/>
      <c r="K942" s="558"/>
      <c r="L942" s="95"/>
      <c r="M942" s="104"/>
      <c r="N942" s="137">
        <v>0</v>
      </c>
      <c r="O942" s="138">
        <v>0</v>
      </c>
      <c r="P942" s="138">
        <v>0</v>
      </c>
      <c r="Q942" s="138">
        <v>0</v>
      </c>
      <c r="R942" s="138">
        <v>0</v>
      </c>
      <c r="S942" s="139">
        <v>0</v>
      </c>
      <c r="T942" s="322">
        <f t="shared" si="209"/>
        <v>0</v>
      </c>
      <c r="U942" s="140" t="str">
        <f t="shared" si="210"/>
        <v/>
      </c>
      <c r="V942" s="322">
        <f t="shared" si="219"/>
        <v>0</v>
      </c>
      <c r="W942" s="140" t="str">
        <f t="shared" si="211"/>
        <v/>
      </c>
      <c r="X942" s="322">
        <f t="shared" si="212"/>
        <v>0</v>
      </c>
      <c r="Y942" s="140" t="str">
        <f t="shared" si="213"/>
        <v/>
      </c>
      <c r="Z942" s="519">
        <v>0</v>
      </c>
      <c r="AA942" s="111">
        <f t="shared" si="220"/>
        <v>0</v>
      </c>
      <c r="AB942" s="111">
        <f t="shared" si="221"/>
        <v>0</v>
      </c>
    </row>
    <row r="943" spans="1:28" ht="27" customHeight="1">
      <c r="A943" s="114" t="s">
        <v>2054</v>
      </c>
      <c r="B943" s="125" t="s">
        <v>484</v>
      </c>
      <c r="C943" s="97" t="s">
        <v>3191</v>
      </c>
      <c r="D943" s="97" t="s">
        <v>3183</v>
      </c>
      <c r="E943" s="559" t="s">
        <v>4571</v>
      </c>
      <c r="F943" s="540" t="s">
        <v>5397</v>
      </c>
      <c r="G943" s="555" t="s">
        <v>350</v>
      </c>
      <c r="H943" s="555" t="s">
        <v>1514</v>
      </c>
      <c r="I943" s="556" t="s">
        <v>2800</v>
      </c>
      <c r="J943" s="557" t="s">
        <v>2801</v>
      </c>
      <c r="K943" s="558" t="s">
        <v>3561</v>
      </c>
      <c r="L943" s="95"/>
      <c r="M943" s="104"/>
      <c r="N943" s="137">
        <v>3219889.1799999997</v>
      </c>
      <c r="O943" s="138">
        <v>3160000</v>
      </c>
      <c r="P943" s="138">
        <v>3160000</v>
      </c>
      <c r="Q943" s="138">
        <v>3160000</v>
      </c>
      <c r="R943" s="138">
        <v>3160000</v>
      </c>
      <c r="S943" s="139">
        <v>3160000</v>
      </c>
      <c r="T943" s="322">
        <f t="shared" si="209"/>
        <v>-59889.179999999702</v>
      </c>
      <c r="U943" s="140">
        <f t="shared" si="210"/>
        <v>-1.8599764355865099E-2</v>
      </c>
      <c r="V943" s="322">
        <f t="shared" si="219"/>
        <v>0</v>
      </c>
      <c r="W943" s="140">
        <f t="shared" si="211"/>
        <v>0</v>
      </c>
      <c r="X943" s="322">
        <f t="shared" si="212"/>
        <v>0</v>
      </c>
      <c r="Y943" s="140">
        <f t="shared" si="213"/>
        <v>0</v>
      </c>
      <c r="Z943" s="519">
        <v>2370000</v>
      </c>
      <c r="AA943" s="111">
        <f t="shared" si="220"/>
        <v>3160000</v>
      </c>
      <c r="AB943" s="111">
        <f t="shared" si="221"/>
        <v>0</v>
      </c>
    </row>
    <row r="944" spans="1:28" ht="33.75">
      <c r="A944" s="114" t="s">
        <v>2055</v>
      </c>
      <c r="B944" s="125" t="s">
        <v>484</v>
      </c>
      <c r="C944" s="97" t="s">
        <v>3191</v>
      </c>
      <c r="D944" s="97" t="s">
        <v>3193</v>
      </c>
      <c r="E944" s="559" t="s">
        <v>4572</v>
      </c>
      <c r="F944" s="540" t="s">
        <v>5398</v>
      </c>
      <c r="G944" s="555" t="s">
        <v>350</v>
      </c>
      <c r="H944" s="555" t="s">
        <v>1514</v>
      </c>
      <c r="I944" s="556" t="s">
        <v>2800</v>
      </c>
      <c r="J944" s="557" t="s">
        <v>2801</v>
      </c>
      <c r="K944" s="558" t="s">
        <v>3561</v>
      </c>
      <c r="L944" s="95"/>
      <c r="M944" s="104"/>
      <c r="N944" s="137">
        <v>4598831.8600000003</v>
      </c>
      <c r="O944" s="138">
        <v>4550000</v>
      </c>
      <c r="P944" s="138">
        <v>4550000</v>
      </c>
      <c r="Q944" s="138">
        <v>4550000</v>
      </c>
      <c r="R944" s="138">
        <v>4550000</v>
      </c>
      <c r="S944" s="139">
        <v>4550000</v>
      </c>
      <c r="T944" s="322">
        <f t="shared" si="209"/>
        <v>-48831.860000000335</v>
      </c>
      <c r="U944" s="140">
        <f t="shared" si="210"/>
        <v>-1.061831819178541E-2</v>
      </c>
      <c r="V944" s="322">
        <f t="shared" si="219"/>
        <v>0</v>
      </c>
      <c r="W944" s="140">
        <f t="shared" si="211"/>
        <v>0</v>
      </c>
      <c r="X944" s="322">
        <f t="shared" si="212"/>
        <v>0</v>
      </c>
      <c r="Y944" s="140">
        <f t="shared" si="213"/>
        <v>0</v>
      </c>
      <c r="Z944" s="519">
        <v>3412500</v>
      </c>
      <c r="AA944" s="111">
        <f t="shared" si="220"/>
        <v>4550000</v>
      </c>
      <c r="AB944" s="111">
        <f t="shared" si="221"/>
        <v>0</v>
      </c>
    </row>
    <row r="945" spans="1:28" ht="33.75">
      <c r="A945" s="114" t="s">
        <v>2056</v>
      </c>
      <c r="B945" s="125" t="s">
        <v>484</v>
      </c>
      <c r="C945" s="97" t="s">
        <v>3191</v>
      </c>
      <c r="D945" s="97" t="s">
        <v>2631</v>
      </c>
      <c r="E945" s="559" t="s">
        <v>4573</v>
      </c>
      <c r="F945" s="540" t="s">
        <v>4574</v>
      </c>
      <c r="G945" s="555" t="s">
        <v>350</v>
      </c>
      <c r="H945" s="555" t="s">
        <v>1514</v>
      </c>
      <c r="I945" s="556" t="s">
        <v>2800</v>
      </c>
      <c r="J945" s="557" t="s">
        <v>2801</v>
      </c>
      <c r="K945" s="558" t="s">
        <v>3561</v>
      </c>
      <c r="L945" s="95"/>
      <c r="M945" s="104"/>
      <c r="N945" s="137">
        <v>3668584.42</v>
      </c>
      <c r="O945" s="138">
        <v>3600000</v>
      </c>
      <c r="P945" s="138">
        <v>3600000</v>
      </c>
      <c r="Q945" s="138">
        <v>3600000</v>
      </c>
      <c r="R945" s="138">
        <v>3600000</v>
      </c>
      <c r="S945" s="139">
        <v>3600000</v>
      </c>
      <c r="T945" s="322">
        <f t="shared" si="209"/>
        <v>-68584.419999999925</v>
      </c>
      <c r="U945" s="140">
        <f t="shared" si="210"/>
        <v>-1.869506385790079E-2</v>
      </c>
      <c r="V945" s="322">
        <f t="shared" si="219"/>
        <v>0</v>
      </c>
      <c r="W945" s="140">
        <f t="shared" si="211"/>
        <v>0</v>
      </c>
      <c r="X945" s="322">
        <f t="shared" si="212"/>
        <v>0</v>
      </c>
      <c r="Y945" s="140">
        <f t="shared" si="213"/>
        <v>0</v>
      </c>
      <c r="Z945" s="519">
        <v>2700000</v>
      </c>
      <c r="AA945" s="111">
        <f t="shared" si="220"/>
        <v>3600000</v>
      </c>
      <c r="AB945" s="111">
        <f t="shared" si="221"/>
        <v>0</v>
      </c>
    </row>
    <row r="946" spans="1:28" ht="16.5" customHeight="1">
      <c r="A946" s="114" t="s">
        <v>2057</v>
      </c>
      <c r="B946" s="125" t="s">
        <v>484</v>
      </c>
      <c r="C946" s="97" t="s">
        <v>3191</v>
      </c>
      <c r="D946" s="97" t="s">
        <v>1404</v>
      </c>
      <c r="E946" s="559" t="s">
        <v>2059</v>
      </c>
      <c r="F946" s="540" t="s">
        <v>2058</v>
      </c>
      <c r="G946" s="555" t="s">
        <v>227</v>
      </c>
      <c r="H946" s="555" t="s">
        <v>3621</v>
      </c>
      <c r="I946" s="556" t="s">
        <v>2044</v>
      </c>
      <c r="J946" s="557" t="s">
        <v>3572</v>
      </c>
      <c r="K946" s="558" t="s">
        <v>3574</v>
      </c>
      <c r="L946" s="95"/>
      <c r="M946" s="104"/>
      <c r="N946" s="137">
        <v>214810.73</v>
      </c>
      <c r="O946" s="138">
        <v>260000</v>
      </c>
      <c r="P946" s="138">
        <v>220000</v>
      </c>
      <c r="Q946" s="138">
        <v>200000</v>
      </c>
      <c r="R946" s="138">
        <v>200000</v>
      </c>
      <c r="S946" s="139">
        <v>200000</v>
      </c>
      <c r="T946" s="322">
        <f t="shared" si="209"/>
        <v>-14810.73000000001</v>
      </c>
      <c r="U946" s="140">
        <f t="shared" si="210"/>
        <v>-6.8947812802461081E-2</v>
      </c>
      <c r="V946" s="322">
        <f t="shared" si="219"/>
        <v>-60000</v>
      </c>
      <c r="W946" s="140">
        <f t="shared" si="211"/>
        <v>-0.23076923076923078</v>
      </c>
      <c r="X946" s="322">
        <f t="shared" si="212"/>
        <v>-20000</v>
      </c>
      <c r="Y946" s="140">
        <f t="shared" si="213"/>
        <v>-9.0909090909090912E-2</v>
      </c>
      <c r="Z946" s="519">
        <v>165000</v>
      </c>
      <c r="AA946" s="111">
        <f t="shared" si="220"/>
        <v>220000</v>
      </c>
      <c r="AB946" s="111">
        <f t="shared" si="221"/>
        <v>0</v>
      </c>
    </row>
    <row r="947" spans="1:28" ht="16.5" customHeight="1">
      <c r="A947" s="114" t="s">
        <v>2060</v>
      </c>
      <c r="B947" s="125" t="s">
        <v>484</v>
      </c>
      <c r="C947" s="97" t="s">
        <v>3191</v>
      </c>
      <c r="D947" s="97" t="s">
        <v>1405</v>
      </c>
      <c r="E947" s="559" t="s">
        <v>2062</v>
      </c>
      <c r="F947" s="540" t="s">
        <v>2061</v>
      </c>
      <c r="G947" s="555" t="s">
        <v>227</v>
      </c>
      <c r="H947" s="555" t="s">
        <v>3621</v>
      </c>
      <c r="I947" s="556" t="s">
        <v>2044</v>
      </c>
      <c r="J947" s="557" t="s">
        <v>3572</v>
      </c>
      <c r="K947" s="558" t="s">
        <v>3574</v>
      </c>
      <c r="L947" s="95"/>
      <c r="M947" s="104"/>
      <c r="N947" s="137">
        <v>938.91</v>
      </c>
      <c r="O947" s="138">
        <v>1000</v>
      </c>
      <c r="P947" s="138">
        <v>1000</v>
      </c>
      <c r="Q947" s="138">
        <v>1000</v>
      </c>
      <c r="R947" s="138">
        <v>1000</v>
      </c>
      <c r="S947" s="139">
        <v>1000</v>
      </c>
      <c r="T947" s="322">
        <f t="shared" si="209"/>
        <v>61.090000000000032</v>
      </c>
      <c r="U947" s="140">
        <f t="shared" si="210"/>
        <v>6.5064809193639467E-2</v>
      </c>
      <c r="V947" s="322">
        <f t="shared" si="219"/>
        <v>0</v>
      </c>
      <c r="W947" s="140">
        <f t="shared" si="211"/>
        <v>0</v>
      </c>
      <c r="X947" s="322">
        <f t="shared" si="212"/>
        <v>0</v>
      </c>
      <c r="Y947" s="140">
        <f t="shared" si="213"/>
        <v>0</v>
      </c>
      <c r="Z947" s="519">
        <v>238.28</v>
      </c>
      <c r="AA947" s="111">
        <f t="shared" si="220"/>
        <v>317.70666666666665</v>
      </c>
      <c r="AB947" s="111">
        <f t="shared" si="221"/>
        <v>682.29333333333329</v>
      </c>
    </row>
    <row r="948" spans="1:28" ht="16.5" customHeight="1">
      <c r="A948" s="114" t="s">
        <v>2063</v>
      </c>
      <c r="B948" s="125" t="s">
        <v>484</v>
      </c>
      <c r="C948" s="97" t="s">
        <v>3191</v>
      </c>
      <c r="D948" s="97" t="s">
        <v>2291</v>
      </c>
      <c r="E948" s="559" t="s">
        <v>2065</v>
      </c>
      <c r="F948" s="540" t="s">
        <v>2064</v>
      </c>
      <c r="G948" s="555" t="s">
        <v>227</v>
      </c>
      <c r="H948" s="555" t="s">
        <v>3621</v>
      </c>
      <c r="I948" s="556" t="s">
        <v>2044</v>
      </c>
      <c r="J948" s="557" t="s">
        <v>3572</v>
      </c>
      <c r="K948" s="558" t="s">
        <v>3574</v>
      </c>
      <c r="L948" s="95"/>
      <c r="M948" s="104"/>
      <c r="N948" s="137">
        <v>56776.93</v>
      </c>
      <c r="O948" s="138">
        <v>60000</v>
      </c>
      <c r="P948" s="138">
        <v>68000</v>
      </c>
      <c r="Q948" s="138">
        <v>68000</v>
      </c>
      <c r="R948" s="138">
        <v>68000</v>
      </c>
      <c r="S948" s="139">
        <v>68000</v>
      </c>
      <c r="T948" s="322">
        <f t="shared" si="209"/>
        <v>11223.07</v>
      </c>
      <c r="U948" s="140">
        <f t="shared" si="210"/>
        <v>0.19766954641612358</v>
      </c>
      <c r="V948" s="322">
        <f t="shared" si="219"/>
        <v>8000</v>
      </c>
      <c r="W948" s="140">
        <f t="shared" si="211"/>
        <v>0.13333333333333333</v>
      </c>
      <c r="X948" s="322">
        <f t="shared" si="212"/>
        <v>0</v>
      </c>
      <c r="Y948" s="140">
        <f t="shared" si="213"/>
        <v>0</v>
      </c>
      <c r="Z948" s="519">
        <v>52238.740000000005</v>
      </c>
      <c r="AA948" s="111">
        <f t="shared" si="220"/>
        <v>69651.653333333335</v>
      </c>
      <c r="AB948" s="111">
        <f t="shared" si="221"/>
        <v>-1651.6533333333355</v>
      </c>
    </row>
    <row r="949" spans="1:28" ht="16.5" customHeight="1">
      <c r="A949" s="115" t="s">
        <v>2066</v>
      </c>
      <c r="B949" s="124" t="s">
        <v>484</v>
      </c>
      <c r="C949" s="101" t="s">
        <v>3194</v>
      </c>
      <c r="D949" s="101" t="s">
        <v>3185</v>
      </c>
      <c r="E949" s="554" t="s">
        <v>2068</v>
      </c>
      <c r="F949" s="534" t="s">
        <v>2067</v>
      </c>
      <c r="G949" s="555"/>
      <c r="H949" s="555"/>
      <c r="I949" s="556"/>
      <c r="J949" s="557"/>
      <c r="K949" s="558"/>
      <c r="L949" s="95"/>
      <c r="M949" s="104"/>
      <c r="N949" s="137">
        <v>0</v>
      </c>
      <c r="O949" s="138">
        <v>0</v>
      </c>
      <c r="P949" s="138">
        <v>0</v>
      </c>
      <c r="Q949" s="138">
        <v>0</v>
      </c>
      <c r="R949" s="138">
        <v>0</v>
      </c>
      <c r="S949" s="139">
        <v>0</v>
      </c>
      <c r="T949" s="322">
        <f t="shared" si="209"/>
        <v>0</v>
      </c>
      <c r="U949" s="140" t="str">
        <f t="shared" si="210"/>
        <v/>
      </c>
      <c r="V949" s="322">
        <f t="shared" si="219"/>
        <v>0</v>
      </c>
      <c r="W949" s="140" t="str">
        <f t="shared" si="211"/>
        <v/>
      </c>
      <c r="X949" s="322">
        <f t="shared" si="212"/>
        <v>0</v>
      </c>
      <c r="Y949" s="140" t="str">
        <f t="shared" si="213"/>
        <v/>
      </c>
      <c r="Z949" s="519">
        <v>0</v>
      </c>
      <c r="AA949" s="111">
        <f t="shared" si="220"/>
        <v>0</v>
      </c>
      <c r="AB949" s="111">
        <f t="shared" si="221"/>
        <v>0</v>
      </c>
    </row>
    <row r="950" spans="1:28" ht="25.5" customHeight="1">
      <c r="A950" s="114" t="s">
        <v>2069</v>
      </c>
      <c r="B950" s="125" t="s">
        <v>484</v>
      </c>
      <c r="C950" s="97" t="s">
        <v>3194</v>
      </c>
      <c r="D950" s="97" t="s">
        <v>3183</v>
      </c>
      <c r="E950" s="559" t="s">
        <v>3622</v>
      </c>
      <c r="F950" s="540" t="s">
        <v>3623</v>
      </c>
      <c r="G950" s="555" t="s">
        <v>350</v>
      </c>
      <c r="H950" s="555" t="s">
        <v>1514</v>
      </c>
      <c r="I950" s="556" t="s">
        <v>2800</v>
      </c>
      <c r="J950" s="557" t="s">
        <v>2801</v>
      </c>
      <c r="K950" s="558" t="s">
        <v>3561</v>
      </c>
      <c r="L950" s="95"/>
      <c r="M950" s="104"/>
      <c r="N950" s="137">
        <v>195581.09999999998</v>
      </c>
      <c r="O950" s="138">
        <v>235000</v>
      </c>
      <c r="P950" s="138">
        <v>195000</v>
      </c>
      <c r="Q950" s="138">
        <v>195000</v>
      </c>
      <c r="R950" s="138">
        <v>195000</v>
      </c>
      <c r="S950" s="139">
        <v>195000</v>
      </c>
      <c r="T950" s="322">
        <f t="shared" si="209"/>
        <v>-581.09999999997672</v>
      </c>
      <c r="U950" s="140">
        <f t="shared" si="210"/>
        <v>-2.9711459849646863E-3</v>
      </c>
      <c r="V950" s="322">
        <f t="shared" si="219"/>
        <v>-40000</v>
      </c>
      <c r="W950" s="140">
        <f t="shared" si="211"/>
        <v>-0.1702127659574468</v>
      </c>
      <c r="X950" s="322">
        <f t="shared" si="212"/>
        <v>0</v>
      </c>
      <c r="Y950" s="140">
        <f t="shared" si="213"/>
        <v>0</v>
      </c>
      <c r="Z950" s="519">
        <v>146250</v>
      </c>
      <c r="AA950" s="111">
        <f t="shared" si="220"/>
        <v>195000</v>
      </c>
      <c r="AB950" s="111">
        <f t="shared" si="221"/>
        <v>0</v>
      </c>
    </row>
    <row r="951" spans="1:28" ht="25.5" customHeight="1">
      <c r="A951" s="116" t="s">
        <v>3624</v>
      </c>
      <c r="B951" s="126" t="s">
        <v>484</v>
      </c>
      <c r="C951" s="98" t="s">
        <v>3194</v>
      </c>
      <c r="D951" s="98" t="s">
        <v>2138</v>
      </c>
      <c r="E951" s="540" t="s">
        <v>3625</v>
      </c>
      <c r="F951" s="540" t="s">
        <v>3626</v>
      </c>
      <c r="G951" s="511" t="s">
        <v>799</v>
      </c>
      <c r="H951" s="511" t="s">
        <v>2796</v>
      </c>
      <c r="I951" s="556" t="s">
        <v>2797</v>
      </c>
      <c r="J951" s="557" t="s">
        <v>2801</v>
      </c>
      <c r="K951" s="558" t="s">
        <v>3561</v>
      </c>
      <c r="L951" s="95"/>
      <c r="M951" s="104"/>
      <c r="N951" s="137">
        <v>0</v>
      </c>
      <c r="O951" s="138">
        <v>0</v>
      </c>
      <c r="P951" s="138">
        <v>0</v>
      </c>
      <c r="Q951" s="138">
        <v>0</v>
      </c>
      <c r="R951" s="138">
        <v>0</v>
      </c>
      <c r="S951" s="139">
        <v>0</v>
      </c>
      <c r="T951" s="322">
        <f t="shared" si="209"/>
        <v>0</v>
      </c>
      <c r="U951" s="140" t="str">
        <f t="shared" si="210"/>
        <v/>
      </c>
      <c r="V951" s="322">
        <f t="shared" si="219"/>
        <v>0</v>
      </c>
      <c r="W951" s="140" t="str">
        <f t="shared" si="211"/>
        <v/>
      </c>
      <c r="X951" s="322">
        <f t="shared" si="212"/>
        <v>0</v>
      </c>
      <c r="Y951" s="140" t="str">
        <f t="shared" si="213"/>
        <v/>
      </c>
      <c r="Z951" s="519">
        <v>0</v>
      </c>
      <c r="AA951" s="111">
        <f t="shared" si="220"/>
        <v>0</v>
      </c>
      <c r="AB951" s="111">
        <f t="shared" si="221"/>
        <v>0</v>
      </c>
    </row>
    <row r="952" spans="1:28" ht="25.5" customHeight="1">
      <c r="A952" s="114" t="s">
        <v>2097</v>
      </c>
      <c r="B952" s="125" t="s">
        <v>484</v>
      </c>
      <c r="C952" s="97" t="s">
        <v>3194</v>
      </c>
      <c r="D952" s="97" t="s">
        <v>3193</v>
      </c>
      <c r="E952" s="559" t="s">
        <v>3627</v>
      </c>
      <c r="F952" s="540" t="s">
        <v>2937</v>
      </c>
      <c r="G952" s="555" t="s">
        <v>350</v>
      </c>
      <c r="H952" s="555" t="s">
        <v>1514</v>
      </c>
      <c r="I952" s="556" t="s">
        <v>2800</v>
      </c>
      <c r="J952" s="557" t="s">
        <v>2801</v>
      </c>
      <c r="K952" s="558" t="s">
        <v>3561</v>
      </c>
      <c r="L952" s="95"/>
      <c r="M952" s="104"/>
      <c r="N952" s="137">
        <v>270590.45</v>
      </c>
      <c r="O952" s="138">
        <v>375000</v>
      </c>
      <c r="P952" s="138">
        <v>465000</v>
      </c>
      <c r="Q952" s="138">
        <v>465000</v>
      </c>
      <c r="R952" s="138">
        <v>465000</v>
      </c>
      <c r="S952" s="139">
        <v>465000</v>
      </c>
      <c r="T952" s="322">
        <f t="shared" si="209"/>
        <v>194409.55</v>
      </c>
      <c r="U952" s="140">
        <f t="shared" si="210"/>
        <v>0.71846419561370323</v>
      </c>
      <c r="V952" s="322">
        <f t="shared" si="219"/>
        <v>90000</v>
      </c>
      <c r="W952" s="140">
        <f t="shared" si="211"/>
        <v>0.24</v>
      </c>
      <c r="X952" s="322">
        <f t="shared" si="212"/>
        <v>0</v>
      </c>
      <c r="Y952" s="140">
        <f t="shared" si="213"/>
        <v>0</v>
      </c>
      <c r="Z952" s="519">
        <v>348750</v>
      </c>
      <c r="AA952" s="111">
        <f t="shared" si="220"/>
        <v>465000</v>
      </c>
      <c r="AB952" s="111">
        <f t="shared" si="221"/>
        <v>0</v>
      </c>
    </row>
    <row r="953" spans="1:28" ht="25.5" customHeight="1">
      <c r="A953" s="116" t="s">
        <v>2938</v>
      </c>
      <c r="B953" s="126" t="s">
        <v>484</v>
      </c>
      <c r="C953" s="98" t="s">
        <v>3194</v>
      </c>
      <c r="D953" s="98" t="s">
        <v>1401</v>
      </c>
      <c r="E953" s="540" t="s">
        <v>2939</v>
      </c>
      <c r="F953" s="540" t="s">
        <v>2940</v>
      </c>
      <c r="G953" s="511" t="s">
        <v>799</v>
      </c>
      <c r="H953" s="511" t="s">
        <v>2796</v>
      </c>
      <c r="I953" s="556" t="s">
        <v>2797</v>
      </c>
      <c r="J953" s="557" t="s">
        <v>2801</v>
      </c>
      <c r="K953" s="558" t="s">
        <v>3561</v>
      </c>
      <c r="L953" s="95"/>
      <c r="M953" s="104"/>
      <c r="N953" s="137">
        <v>1835.65</v>
      </c>
      <c r="O953" s="138">
        <v>2600</v>
      </c>
      <c r="P953" s="138">
        <v>7000</v>
      </c>
      <c r="Q953" s="138">
        <v>7000</v>
      </c>
      <c r="R953" s="138">
        <v>7000</v>
      </c>
      <c r="S953" s="139">
        <v>7000</v>
      </c>
      <c r="T953" s="322">
        <f t="shared" si="209"/>
        <v>5164.3500000000004</v>
      </c>
      <c r="U953" s="140">
        <f t="shared" si="210"/>
        <v>2.8133631138833657</v>
      </c>
      <c r="V953" s="322">
        <f t="shared" si="219"/>
        <v>4400</v>
      </c>
      <c r="W953" s="140">
        <f t="shared" si="211"/>
        <v>1.6923076923076923</v>
      </c>
      <c r="X953" s="322">
        <f t="shared" si="212"/>
        <v>0</v>
      </c>
      <c r="Y953" s="140">
        <f t="shared" si="213"/>
        <v>0</v>
      </c>
      <c r="Z953" s="519">
        <v>5250</v>
      </c>
      <c r="AA953" s="111">
        <f t="shared" si="220"/>
        <v>7000</v>
      </c>
      <c r="AB953" s="111">
        <f t="shared" si="221"/>
        <v>0</v>
      </c>
    </row>
    <row r="954" spans="1:28" ht="25.5" customHeight="1">
      <c r="A954" s="115" t="s">
        <v>2098</v>
      </c>
      <c r="B954" s="124" t="s">
        <v>484</v>
      </c>
      <c r="C954" s="101" t="s">
        <v>2629</v>
      </c>
      <c r="D954" s="101" t="s">
        <v>3185</v>
      </c>
      <c r="E954" s="554" t="s">
        <v>2100</v>
      </c>
      <c r="F954" s="534" t="s">
        <v>2099</v>
      </c>
      <c r="G954" s="555"/>
      <c r="H954" s="555"/>
      <c r="I954" s="556"/>
      <c r="J954" s="557"/>
      <c r="K954" s="558"/>
      <c r="L954" s="95"/>
      <c r="M954" s="104"/>
      <c r="N954" s="137">
        <v>0</v>
      </c>
      <c r="O954" s="138">
        <v>0</v>
      </c>
      <c r="P954" s="138">
        <v>0</v>
      </c>
      <c r="Q954" s="138">
        <v>0</v>
      </c>
      <c r="R954" s="138">
        <v>0</v>
      </c>
      <c r="S954" s="139">
        <v>0</v>
      </c>
      <c r="T954" s="322">
        <f t="shared" si="209"/>
        <v>0</v>
      </c>
      <c r="U954" s="140" t="str">
        <f t="shared" si="210"/>
        <v/>
      </c>
      <c r="V954" s="322">
        <f t="shared" si="219"/>
        <v>0</v>
      </c>
      <c r="W954" s="140" t="str">
        <f t="shared" si="211"/>
        <v/>
      </c>
      <c r="X954" s="322">
        <f t="shared" si="212"/>
        <v>0</v>
      </c>
      <c r="Y954" s="140" t="str">
        <f t="shared" si="213"/>
        <v/>
      </c>
      <c r="Z954" s="519">
        <v>0</v>
      </c>
      <c r="AA954" s="111">
        <f t="shared" si="220"/>
        <v>0</v>
      </c>
      <c r="AB954" s="111">
        <f t="shared" si="221"/>
        <v>0</v>
      </c>
    </row>
    <row r="955" spans="1:28" ht="25.5" customHeight="1">
      <c r="A955" s="116" t="s">
        <v>2941</v>
      </c>
      <c r="B955" s="126" t="s">
        <v>484</v>
      </c>
      <c r="C955" s="98" t="s">
        <v>2629</v>
      </c>
      <c r="D955" s="98" t="s">
        <v>3099</v>
      </c>
      <c r="E955" s="540" t="s">
        <v>2942</v>
      </c>
      <c r="F955" s="540" t="s">
        <v>2943</v>
      </c>
      <c r="G955" s="555" t="s">
        <v>354</v>
      </c>
      <c r="H955" s="555" t="s">
        <v>2944</v>
      </c>
      <c r="I955" s="556" t="s">
        <v>2945</v>
      </c>
      <c r="J955" s="557" t="s">
        <v>2946</v>
      </c>
      <c r="K955" s="558" t="s">
        <v>3559</v>
      </c>
      <c r="L955" s="95"/>
      <c r="M955" s="104"/>
      <c r="N955" s="137">
        <v>0</v>
      </c>
      <c r="O955" s="138">
        <v>0</v>
      </c>
      <c r="P955" s="138">
        <v>0</v>
      </c>
      <c r="Q955" s="138">
        <v>0</v>
      </c>
      <c r="R955" s="138">
        <v>0</v>
      </c>
      <c r="S955" s="139">
        <v>0</v>
      </c>
      <c r="T955" s="322">
        <f t="shared" si="209"/>
        <v>0</v>
      </c>
      <c r="U955" s="140" t="str">
        <f t="shared" si="210"/>
        <v/>
      </c>
      <c r="V955" s="322">
        <f t="shared" si="219"/>
        <v>0</v>
      </c>
      <c r="W955" s="140" t="str">
        <f t="shared" si="211"/>
        <v/>
      </c>
      <c r="X955" s="322">
        <f t="shared" si="212"/>
        <v>0</v>
      </c>
      <c r="Y955" s="140" t="str">
        <f t="shared" si="213"/>
        <v/>
      </c>
      <c r="Z955" s="519">
        <v>0</v>
      </c>
      <c r="AA955" s="111">
        <f t="shared" si="220"/>
        <v>0</v>
      </c>
      <c r="AB955" s="111">
        <f t="shared" si="221"/>
        <v>0</v>
      </c>
    </row>
    <row r="956" spans="1:28" ht="25.5" customHeight="1">
      <c r="A956" s="114" t="s">
        <v>2101</v>
      </c>
      <c r="B956" s="125" t="s">
        <v>484</v>
      </c>
      <c r="C956" s="97" t="s">
        <v>2629</v>
      </c>
      <c r="D956" s="97" t="s">
        <v>3183</v>
      </c>
      <c r="E956" s="559" t="s">
        <v>2947</v>
      </c>
      <c r="F956" s="540" t="s">
        <v>2948</v>
      </c>
      <c r="G956" s="555" t="s">
        <v>356</v>
      </c>
      <c r="H956" s="555" t="s">
        <v>2949</v>
      </c>
      <c r="I956" s="556" t="s">
        <v>2102</v>
      </c>
      <c r="J956" s="557" t="s">
        <v>2946</v>
      </c>
      <c r="K956" s="558" t="s">
        <v>3559</v>
      </c>
      <c r="L956" s="95"/>
      <c r="M956" s="104"/>
      <c r="N956" s="137">
        <v>2681562.2000000002</v>
      </c>
      <c r="O956" s="138">
        <v>2610000</v>
      </c>
      <c r="P956" s="138">
        <v>2680000</v>
      </c>
      <c r="Q956" s="138">
        <v>2680000</v>
      </c>
      <c r="R956" s="138">
        <v>2680000</v>
      </c>
      <c r="S956" s="139">
        <v>2680000</v>
      </c>
      <c r="T956" s="322">
        <f t="shared" si="209"/>
        <v>-1562.2000000001863</v>
      </c>
      <c r="U956" s="140">
        <f t="shared" si="210"/>
        <v>-5.825708611197555E-4</v>
      </c>
      <c r="V956" s="322">
        <f t="shared" si="219"/>
        <v>70000</v>
      </c>
      <c r="W956" s="140">
        <f t="shared" si="211"/>
        <v>2.681992337164751E-2</v>
      </c>
      <c r="X956" s="322">
        <f t="shared" si="212"/>
        <v>0</v>
      </c>
      <c r="Y956" s="140">
        <f t="shared" si="213"/>
        <v>0</v>
      </c>
      <c r="Z956" s="519">
        <v>2010000</v>
      </c>
      <c r="AA956" s="111">
        <f t="shared" si="220"/>
        <v>2680000</v>
      </c>
      <c r="AB956" s="111">
        <f t="shared" si="221"/>
        <v>0</v>
      </c>
    </row>
    <row r="957" spans="1:28" ht="34.5" customHeight="1">
      <c r="A957" s="114" t="s">
        <v>2950</v>
      </c>
      <c r="B957" s="125" t="s">
        <v>484</v>
      </c>
      <c r="C957" s="97" t="s">
        <v>2629</v>
      </c>
      <c r="D957" s="97" t="s">
        <v>3193</v>
      </c>
      <c r="E957" s="559" t="s">
        <v>2951</v>
      </c>
      <c r="F957" s="540" t="s">
        <v>2952</v>
      </c>
      <c r="G957" s="555" t="s">
        <v>360</v>
      </c>
      <c r="H957" s="555" t="s">
        <v>2953</v>
      </c>
      <c r="I957" s="556" t="s">
        <v>2954</v>
      </c>
      <c r="J957" s="557" t="s">
        <v>2946</v>
      </c>
      <c r="K957" s="558" t="s">
        <v>3559</v>
      </c>
      <c r="L957" s="95"/>
      <c r="M957" s="104"/>
      <c r="N957" s="137">
        <v>363892.43</v>
      </c>
      <c r="O957" s="138">
        <v>340000</v>
      </c>
      <c r="P957" s="138">
        <v>340000</v>
      </c>
      <c r="Q957" s="138">
        <v>340000</v>
      </c>
      <c r="R957" s="138">
        <v>340000</v>
      </c>
      <c r="S957" s="139">
        <v>340000</v>
      </c>
      <c r="T957" s="322">
        <f t="shared" si="209"/>
        <v>-23892.429999999993</v>
      </c>
      <c r="U957" s="140">
        <f t="shared" si="210"/>
        <v>-6.5657947322509555E-2</v>
      </c>
      <c r="V957" s="322">
        <f t="shared" si="219"/>
        <v>0</v>
      </c>
      <c r="W957" s="140">
        <f t="shared" si="211"/>
        <v>0</v>
      </c>
      <c r="X957" s="322">
        <f t="shared" si="212"/>
        <v>0</v>
      </c>
      <c r="Y957" s="140">
        <f t="shared" si="213"/>
        <v>0</v>
      </c>
      <c r="Z957" s="519">
        <v>255000</v>
      </c>
      <c r="AA957" s="111">
        <f t="shared" si="220"/>
        <v>340000</v>
      </c>
      <c r="AB957" s="111">
        <f t="shared" si="221"/>
        <v>0</v>
      </c>
    </row>
    <row r="958" spans="1:28" ht="15.75" customHeight="1">
      <c r="A958" s="114" t="s">
        <v>2955</v>
      </c>
      <c r="B958" s="125" t="s">
        <v>484</v>
      </c>
      <c r="C958" s="97" t="s">
        <v>2629</v>
      </c>
      <c r="D958" s="97" t="s">
        <v>1404</v>
      </c>
      <c r="E958" s="559" t="s">
        <v>2956</v>
      </c>
      <c r="F958" s="540" t="s">
        <v>2957</v>
      </c>
      <c r="G958" s="555" t="s">
        <v>364</v>
      </c>
      <c r="H958" s="555" t="s">
        <v>2958</v>
      </c>
      <c r="I958" s="556" t="s">
        <v>2959</v>
      </c>
      <c r="J958" s="557" t="s">
        <v>2946</v>
      </c>
      <c r="K958" s="558" t="s">
        <v>3559</v>
      </c>
      <c r="L958" s="95"/>
      <c r="M958" s="104"/>
      <c r="N958" s="137">
        <v>473657.27</v>
      </c>
      <c r="O958" s="138">
        <v>175000</v>
      </c>
      <c r="P958" s="138">
        <v>435000.00000000006</v>
      </c>
      <c r="Q958" s="138">
        <v>435000.00000000006</v>
      </c>
      <c r="R958" s="138">
        <v>435000.00000000006</v>
      </c>
      <c r="S958" s="139">
        <v>435000.00000000006</v>
      </c>
      <c r="T958" s="322">
        <f t="shared" si="209"/>
        <v>-38657.26999999996</v>
      </c>
      <c r="U958" s="140">
        <f t="shared" si="210"/>
        <v>-8.1614433997814415E-2</v>
      </c>
      <c r="V958" s="322">
        <f t="shared" si="219"/>
        <v>260000.00000000006</v>
      </c>
      <c r="W958" s="140">
        <f t="shared" si="211"/>
        <v>1.485714285714286</v>
      </c>
      <c r="X958" s="322">
        <f t="shared" si="212"/>
        <v>0</v>
      </c>
      <c r="Y958" s="140">
        <f t="shared" si="213"/>
        <v>0</v>
      </c>
      <c r="Z958" s="519">
        <v>326250.00000000006</v>
      </c>
      <c r="AA958" s="111">
        <f t="shared" si="220"/>
        <v>435000.00000000006</v>
      </c>
      <c r="AB958" s="111">
        <f t="shared" si="221"/>
        <v>0</v>
      </c>
    </row>
    <row r="959" spans="1:28" ht="25.5" customHeight="1">
      <c r="A959" s="115" t="s">
        <v>2103</v>
      </c>
      <c r="B959" s="124" t="s">
        <v>484</v>
      </c>
      <c r="C959" s="101" t="s">
        <v>2104</v>
      </c>
      <c r="D959" s="101" t="s">
        <v>3185</v>
      </c>
      <c r="E959" s="554" t="s">
        <v>2106</v>
      </c>
      <c r="F959" s="534" t="s">
        <v>2105</v>
      </c>
      <c r="G959" s="555"/>
      <c r="H959" s="555"/>
      <c r="I959" s="556"/>
      <c r="J959" s="557"/>
      <c r="K959" s="558"/>
      <c r="L959" s="95"/>
      <c r="M959" s="104"/>
      <c r="N959" s="137">
        <v>0</v>
      </c>
      <c r="O959" s="138">
        <v>0</v>
      </c>
      <c r="P959" s="138">
        <v>0</v>
      </c>
      <c r="Q959" s="138">
        <v>0</v>
      </c>
      <c r="R959" s="138">
        <v>0</v>
      </c>
      <c r="S959" s="139">
        <v>0</v>
      </c>
      <c r="T959" s="322">
        <f t="shared" si="209"/>
        <v>0</v>
      </c>
      <c r="U959" s="140" t="str">
        <f t="shared" si="210"/>
        <v/>
      </c>
      <c r="V959" s="322">
        <f t="shared" si="219"/>
        <v>0</v>
      </c>
      <c r="W959" s="140" t="str">
        <f t="shared" si="211"/>
        <v/>
      </c>
      <c r="X959" s="322">
        <f t="shared" si="212"/>
        <v>0</v>
      </c>
      <c r="Y959" s="140" t="str">
        <f t="shared" si="213"/>
        <v/>
      </c>
      <c r="Z959" s="519">
        <v>0</v>
      </c>
      <c r="AA959" s="111">
        <f t="shared" si="220"/>
        <v>0</v>
      </c>
      <c r="AB959" s="111">
        <f t="shared" si="221"/>
        <v>0</v>
      </c>
    </row>
    <row r="960" spans="1:28" ht="25.5" customHeight="1">
      <c r="A960" s="114" t="s">
        <v>2107</v>
      </c>
      <c r="B960" s="125" t="s">
        <v>484</v>
      </c>
      <c r="C960" s="97" t="s">
        <v>2104</v>
      </c>
      <c r="D960" s="97" t="s">
        <v>3183</v>
      </c>
      <c r="E960" s="559" t="s">
        <v>2106</v>
      </c>
      <c r="F960" s="540" t="s">
        <v>2105</v>
      </c>
      <c r="G960" s="555" t="s">
        <v>799</v>
      </c>
      <c r="H960" s="555" t="s">
        <v>2796</v>
      </c>
      <c r="I960" s="556" t="s">
        <v>2797</v>
      </c>
      <c r="J960" s="557" t="s">
        <v>2801</v>
      </c>
      <c r="K960" s="558" t="s">
        <v>3561</v>
      </c>
      <c r="L960" s="95"/>
      <c r="M960" s="104"/>
      <c r="N960" s="137">
        <v>101623.34999999999</v>
      </c>
      <c r="O960" s="138">
        <v>85000</v>
      </c>
      <c r="P960" s="138">
        <v>101000</v>
      </c>
      <c r="Q960" s="138">
        <v>101000</v>
      </c>
      <c r="R960" s="138">
        <v>101000</v>
      </c>
      <c r="S960" s="139">
        <v>101000</v>
      </c>
      <c r="T960" s="322">
        <f t="shared" si="209"/>
        <v>-623.34999999999127</v>
      </c>
      <c r="U960" s="140">
        <f t="shared" si="210"/>
        <v>-6.1339249296543689E-3</v>
      </c>
      <c r="V960" s="322">
        <f t="shared" si="219"/>
        <v>16000</v>
      </c>
      <c r="W960" s="140">
        <f t="shared" si="211"/>
        <v>0.18823529411764706</v>
      </c>
      <c r="X960" s="322">
        <f t="shared" si="212"/>
        <v>0</v>
      </c>
      <c r="Y960" s="140">
        <f t="shared" si="213"/>
        <v>0</v>
      </c>
      <c r="Z960" s="519">
        <v>75750</v>
      </c>
      <c r="AA960" s="111">
        <f t="shared" si="220"/>
        <v>101000</v>
      </c>
      <c r="AB960" s="111">
        <f t="shared" si="221"/>
        <v>0</v>
      </c>
    </row>
    <row r="961" spans="1:28" ht="25.5" customHeight="1">
      <c r="A961" s="114" t="s">
        <v>2108</v>
      </c>
      <c r="B961" s="125" t="s">
        <v>484</v>
      </c>
      <c r="C961" s="97" t="s">
        <v>2104</v>
      </c>
      <c r="D961" s="97" t="s">
        <v>3193</v>
      </c>
      <c r="E961" s="559" t="s">
        <v>1492</v>
      </c>
      <c r="F961" s="540" t="s">
        <v>2109</v>
      </c>
      <c r="G961" s="555" t="s">
        <v>350</v>
      </c>
      <c r="H961" s="555" t="s">
        <v>1514</v>
      </c>
      <c r="I961" s="556" t="s">
        <v>2800</v>
      </c>
      <c r="J961" s="557" t="s">
        <v>2801</v>
      </c>
      <c r="K961" s="558" t="s">
        <v>3561</v>
      </c>
      <c r="L961" s="95"/>
      <c r="M961" s="104"/>
      <c r="N961" s="137">
        <v>468677.06</v>
      </c>
      <c r="O961" s="138">
        <v>405000</v>
      </c>
      <c r="P961" s="138">
        <v>465000</v>
      </c>
      <c r="Q961" s="138">
        <v>465000</v>
      </c>
      <c r="R961" s="138">
        <v>465000</v>
      </c>
      <c r="S961" s="139">
        <v>465000</v>
      </c>
      <c r="T961" s="322">
        <f t="shared" si="209"/>
        <v>-3677.0599999999977</v>
      </c>
      <c r="U961" s="140">
        <f t="shared" si="210"/>
        <v>-7.8456154862796088E-3</v>
      </c>
      <c r="V961" s="322">
        <f t="shared" si="219"/>
        <v>60000</v>
      </c>
      <c r="W961" s="140">
        <f t="shared" si="211"/>
        <v>0.14814814814814814</v>
      </c>
      <c r="X961" s="322">
        <f t="shared" si="212"/>
        <v>0</v>
      </c>
      <c r="Y961" s="140">
        <f t="shared" si="213"/>
        <v>0</v>
      </c>
      <c r="Z961" s="519">
        <v>348750</v>
      </c>
      <c r="AA961" s="111">
        <f t="shared" si="220"/>
        <v>465000</v>
      </c>
      <c r="AB961" s="111">
        <f t="shared" si="221"/>
        <v>0</v>
      </c>
    </row>
    <row r="962" spans="1:28" ht="15.75" customHeight="1">
      <c r="A962" s="115" t="s">
        <v>1493</v>
      </c>
      <c r="B962" s="124" t="s">
        <v>484</v>
      </c>
      <c r="C962" s="101" t="s">
        <v>2630</v>
      </c>
      <c r="D962" s="101" t="s">
        <v>3185</v>
      </c>
      <c r="E962" s="554" t="s">
        <v>1495</v>
      </c>
      <c r="F962" s="534" t="s">
        <v>1494</v>
      </c>
      <c r="G962" s="555"/>
      <c r="H962" s="555"/>
      <c r="I962" s="556"/>
      <c r="J962" s="557"/>
      <c r="K962" s="558"/>
      <c r="L962" s="95"/>
      <c r="M962" s="104"/>
      <c r="N962" s="137">
        <v>0</v>
      </c>
      <c r="O962" s="138">
        <v>0</v>
      </c>
      <c r="P962" s="138">
        <v>0</v>
      </c>
      <c r="Q962" s="138">
        <v>0</v>
      </c>
      <c r="R962" s="138">
        <v>0</v>
      </c>
      <c r="S962" s="139">
        <v>0</v>
      </c>
      <c r="T962" s="322">
        <f t="shared" ref="T962:T1026" si="237">IF(N962="","",Q962-N962)</f>
        <v>0</v>
      </c>
      <c r="U962" s="140" t="str">
        <f t="shared" ref="U962:U1026" si="238">IF(N962=0,"",T962/N962)</f>
        <v/>
      </c>
      <c r="V962" s="322">
        <f t="shared" si="219"/>
        <v>0</v>
      </c>
      <c r="W962" s="140" t="str">
        <f t="shared" ref="W962:W1026" si="239">IF(O962=0,"",V962/O962)</f>
        <v/>
      </c>
      <c r="X962" s="322">
        <f t="shared" ref="X962:X1026" si="240">IF(P962="","",Q962-P962)</f>
        <v>0</v>
      </c>
      <c r="Y962" s="140" t="str">
        <f t="shared" ref="Y962:Y1026" si="241">IF(P962=0,"",X962/P962)</f>
        <v/>
      </c>
      <c r="Z962" s="519">
        <v>0</v>
      </c>
      <c r="AA962" s="111">
        <f t="shared" si="220"/>
        <v>0</v>
      </c>
      <c r="AB962" s="111">
        <f t="shared" si="221"/>
        <v>0</v>
      </c>
    </row>
    <row r="963" spans="1:28" ht="15.75" customHeight="1">
      <c r="A963" s="114" t="s">
        <v>1496</v>
      </c>
      <c r="B963" s="125" t="s">
        <v>484</v>
      </c>
      <c r="C963" s="97" t="s">
        <v>2630</v>
      </c>
      <c r="D963" s="97" t="s">
        <v>3183</v>
      </c>
      <c r="E963" s="559" t="s">
        <v>1495</v>
      </c>
      <c r="F963" s="540" t="s">
        <v>1494</v>
      </c>
      <c r="G963" s="555" t="s">
        <v>231</v>
      </c>
      <c r="H963" s="555" t="s">
        <v>3620</v>
      </c>
      <c r="I963" s="556" t="s">
        <v>1497</v>
      </c>
      <c r="J963" s="557" t="s">
        <v>3572</v>
      </c>
      <c r="K963" s="558" t="s">
        <v>3574</v>
      </c>
      <c r="L963" s="95"/>
      <c r="M963" s="104"/>
      <c r="N963" s="137">
        <v>5729.01</v>
      </c>
      <c r="O963" s="138">
        <v>1406000</v>
      </c>
      <c r="P963" s="138">
        <v>360000</v>
      </c>
      <c r="Q963" s="138">
        <v>360000</v>
      </c>
      <c r="R963" s="138">
        <v>360000</v>
      </c>
      <c r="S963" s="139">
        <v>360000</v>
      </c>
      <c r="T963" s="322">
        <f t="shared" si="237"/>
        <v>354270.99</v>
      </c>
      <c r="U963" s="140">
        <f t="shared" si="238"/>
        <v>61.838081972277926</v>
      </c>
      <c r="V963" s="322">
        <f t="shared" si="219"/>
        <v>-1046000</v>
      </c>
      <c r="W963" s="140">
        <f t="shared" si="239"/>
        <v>-0.7439544807965861</v>
      </c>
      <c r="X963" s="322">
        <f t="shared" si="240"/>
        <v>0</v>
      </c>
      <c r="Y963" s="140">
        <f t="shared" si="241"/>
        <v>0</v>
      </c>
      <c r="Z963" s="519">
        <v>270000</v>
      </c>
      <c r="AA963" s="111">
        <f t="shared" si="220"/>
        <v>360000</v>
      </c>
      <c r="AB963" s="111">
        <f t="shared" si="221"/>
        <v>0</v>
      </c>
    </row>
    <row r="964" spans="1:28" ht="25.5" customHeight="1">
      <c r="A964" s="115" t="s">
        <v>1498</v>
      </c>
      <c r="B964" s="124" t="s">
        <v>484</v>
      </c>
      <c r="C964" s="101" t="s">
        <v>2139</v>
      </c>
      <c r="D964" s="101" t="s">
        <v>3185</v>
      </c>
      <c r="E964" s="554" t="s">
        <v>4575</v>
      </c>
      <c r="F964" s="534" t="s">
        <v>4576</v>
      </c>
      <c r="G964" s="555"/>
      <c r="H964" s="555"/>
      <c r="I964" s="556"/>
      <c r="J964" s="557"/>
      <c r="K964" s="558"/>
      <c r="L964" s="95"/>
      <c r="M964" s="104"/>
      <c r="N964" s="137">
        <v>0</v>
      </c>
      <c r="O964" s="138">
        <v>0</v>
      </c>
      <c r="P964" s="138">
        <v>0</v>
      </c>
      <c r="Q964" s="138">
        <v>0</v>
      </c>
      <c r="R964" s="138">
        <v>0</v>
      </c>
      <c r="S964" s="139">
        <v>0</v>
      </c>
      <c r="T964" s="322">
        <f t="shared" si="237"/>
        <v>0</v>
      </c>
      <c r="U964" s="140" t="str">
        <f t="shared" si="238"/>
        <v/>
      </c>
      <c r="V964" s="322">
        <f t="shared" si="219"/>
        <v>0</v>
      </c>
      <c r="W964" s="140" t="str">
        <f t="shared" si="239"/>
        <v/>
      </c>
      <c r="X964" s="322">
        <f t="shared" si="240"/>
        <v>0</v>
      </c>
      <c r="Y964" s="140" t="str">
        <f t="shared" si="241"/>
        <v/>
      </c>
      <c r="Z964" s="519">
        <v>0</v>
      </c>
      <c r="AA964" s="111">
        <f t="shared" si="220"/>
        <v>0</v>
      </c>
      <c r="AB964" s="111">
        <f t="shared" si="221"/>
        <v>0</v>
      </c>
    </row>
    <row r="965" spans="1:28" ht="25.5" customHeight="1">
      <c r="A965" s="114" t="s">
        <v>1499</v>
      </c>
      <c r="B965" s="125" t="s">
        <v>484</v>
      </c>
      <c r="C965" s="97" t="s">
        <v>2139</v>
      </c>
      <c r="D965" s="97" t="s">
        <v>3183</v>
      </c>
      <c r="E965" s="559" t="s">
        <v>4575</v>
      </c>
      <c r="F965" s="540" t="s">
        <v>4576</v>
      </c>
      <c r="G965" s="555" t="s">
        <v>227</v>
      </c>
      <c r="H965" s="555" t="s">
        <v>3621</v>
      </c>
      <c r="I965" s="556" t="s">
        <v>2044</v>
      </c>
      <c r="J965" s="557" t="s">
        <v>3572</v>
      </c>
      <c r="K965" s="558" t="s">
        <v>3574</v>
      </c>
      <c r="L965" s="95"/>
      <c r="M965" s="104"/>
      <c r="N965" s="137">
        <v>3165</v>
      </c>
      <c r="O965" s="138">
        <v>1000</v>
      </c>
      <c r="P965" s="138">
        <v>9600</v>
      </c>
      <c r="Q965" s="138">
        <v>9600</v>
      </c>
      <c r="R965" s="138">
        <v>9600</v>
      </c>
      <c r="S965" s="139">
        <v>9600</v>
      </c>
      <c r="T965" s="322">
        <f t="shared" si="237"/>
        <v>6435</v>
      </c>
      <c r="U965" s="140">
        <f t="shared" si="238"/>
        <v>2.0331753554502368</v>
      </c>
      <c r="V965" s="322">
        <f t="shared" si="219"/>
        <v>8600</v>
      </c>
      <c r="W965" s="140">
        <f t="shared" si="239"/>
        <v>8.6</v>
      </c>
      <c r="X965" s="322">
        <f t="shared" si="240"/>
        <v>0</v>
      </c>
      <c r="Y965" s="140">
        <f t="shared" si="241"/>
        <v>0</v>
      </c>
      <c r="Z965" s="519">
        <v>7200</v>
      </c>
      <c r="AA965" s="111">
        <f t="shared" si="220"/>
        <v>9600</v>
      </c>
      <c r="AB965" s="111">
        <f t="shared" si="221"/>
        <v>0</v>
      </c>
    </row>
    <row r="966" spans="1:28" ht="25.5" customHeight="1">
      <c r="A966" s="113" t="s">
        <v>1500</v>
      </c>
      <c r="B966" s="135" t="s">
        <v>1501</v>
      </c>
      <c r="C966" s="136" t="s">
        <v>3184</v>
      </c>
      <c r="D966" s="136" t="s">
        <v>3185</v>
      </c>
      <c r="E966" s="529" t="s">
        <v>1503</v>
      </c>
      <c r="F966" s="529" t="s">
        <v>1502</v>
      </c>
      <c r="G966" s="530"/>
      <c r="H966" s="530"/>
      <c r="I966" s="531"/>
      <c r="J966" s="532"/>
      <c r="K966" s="533"/>
      <c r="L966" s="95"/>
      <c r="M966" s="147"/>
      <c r="N966" s="137">
        <v>0</v>
      </c>
      <c r="O966" s="138">
        <v>0</v>
      </c>
      <c r="P966" s="138">
        <v>0</v>
      </c>
      <c r="Q966" s="138">
        <v>0</v>
      </c>
      <c r="R966" s="138">
        <v>0</v>
      </c>
      <c r="S966" s="139">
        <v>0</v>
      </c>
      <c r="T966" s="322">
        <f t="shared" si="237"/>
        <v>0</v>
      </c>
      <c r="U966" s="140" t="str">
        <f t="shared" si="238"/>
        <v/>
      </c>
      <c r="V966" s="322">
        <f t="shared" si="219"/>
        <v>0</v>
      </c>
      <c r="W966" s="140" t="str">
        <f t="shared" si="239"/>
        <v/>
      </c>
      <c r="X966" s="322">
        <f t="shared" si="240"/>
        <v>0</v>
      </c>
      <c r="Y966" s="140" t="str">
        <f t="shared" si="241"/>
        <v/>
      </c>
      <c r="Z966" s="519">
        <v>0</v>
      </c>
      <c r="AA966" s="111">
        <f t="shared" si="220"/>
        <v>0</v>
      </c>
      <c r="AB966" s="111">
        <f t="shared" si="221"/>
        <v>0</v>
      </c>
    </row>
    <row r="967" spans="1:28" ht="15.75" customHeight="1">
      <c r="A967" s="115" t="s">
        <v>1504</v>
      </c>
      <c r="B967" s="124" t="s">
        <v>1501</v>
      </c>
      <c r="C967" s="101" t="s">
        <v>3186</v>
      </c>
      <c r="D967" s="101" t="s">
        <v>3185</v>
      </c>
      <c r="E967" s="554" t="s">
        <v>1505</v>
      </c>
      <c r="F967" s="534" t="s">
        <v>1505</v>
      </c>
      <c r="G967" s="555"/>
      <c r="H967" s="555"/>
      <c r="I967" s="556"/>
      <c r="J967" s="557"/>
      <c r="K967" s="558"/>
      <c r="L967" s="95"/>
      <c r="M967" s="104"/>
      <c r="N967" s="137">
        <v>0</v>
      </c>
      <c r="O967" s="138">
        <v>0</v>
      </c>
      <c r="P967" s="138">
        <v>0</v>
      </c>
      <c r="Q967" s="138">
        <v>0</v>
      </c>
      <c r="R967" s="138">
        <v>0</v>
      </c>
      <c r="S967" s="139">
        <v>0</v>
      </c>
      <c r="T967" s="322">
        <f t="shared" si="237"/>
        <v>0</v>
      </c>
      <c r="U967" s="140" t="str">
        <f t="shared" si="238"/>
        <v/>
      </c>
      <c r="V967" s="322">
        <f t="shared" si="219"/>
        <v>0</v>
      </c>
      <c r="W967" s="140" t="str">
        <f t="shared" si="239"/>
        <v/>
      </c>
      <c r="X967" s="322">
        <f t="shared" si="240"/>
        <v>0</v>
      </c>
      <c r="Y967" s="140" t="str">
        <f t="shared" si="241"/>
        <v/>
      </c>
      <c r="Z967" s="519">
        <v>0</v>
      </c>
      <c r="AA967" s="111">
        <f t="shared" si="220"/>
        <v>0</v>
      </c>
      <c r="AB967" s="111">
        <f t="shared" si="221"/>
        <v>0</v>
      </c>
    </row>
    <row r="968" spans="1:28" ht="15.75" customHeight="1">
      <c r="A968" s="114" t="s">
        <v>1506</v>
      </c>
      <c r="B968" s="125" t="s">
        <v>1501</v>
      </c>
      <c r="C968" s="97" t="s">
        <v>3186</v>
      </c>
      <c r="D968" s="97" t="s">
        <v>3183</v>
      </c>
      <c r="E968" s="559" t="s">
        <v>1507</v>
      </c>
      <c r="F968" s="540" t="s">
        <v>5399</v>
      </c>
      <c r="G968" s="555" t="s">
        <v>405</v>
      </c>
      <c r="H968" s="555" t="s">
        <v>2960</v>
      </c>
      <c r="I968" s="556" t="s">
        <v>2961</v>
      </c>
      <c r="J968" s="557" t="s">
        <v>3564</v>
      </c>
      <c r="K968" s="558" t="s">
        <v>3565</v>
      </c>
      <c r="L968" s="95"/>
      <c r="M968" s="104"/>
      <c r="N968" s="137">
        <v>18223222.109999999</v>
      </c>
      <c r="O968" s="138">
        <v>18500000</v>
      </c>
      <c r="P968" s="138">
        <v>18000000</v>
      </c>
      <c r="Q968" s="138">
        <v>18000000</v>
      </c>
      <c r="R968" s="138">
        <v>18000000</v>
      </c>
      <c r="S968" s="139">
        <v>18000000</v>
      </c>
      <c r="T968" s="322">
        <f t="shared" si="237"/>
        <v>-223222.1099999994</v>
      </c>
      <c r="U968" s="140">
        <f t="shared" si="238"/>
        <v>-1.2249321698027607E-2</v>
      </c>
      <c r="V968" s="322">
        <f t="shared" si="219"/>
        <v>-500000</v>
      </c>
      <c r="W968" s="140">
        <f t="shared" si="239"/>
        <v>-2.7027027027027029E-2</v>
      </c>
      <c r="X968" s="322">
        <f t="shared" si="240"/>
        <v>0</v>
      </c>
      <c r="Y968" s="140">
        <f t="shared" si="241"/>
        <v>0</v>
      </c>
      <c r="Z968" s="519">
        <v>13500000</v>
      </c>
      <c r="AA968" s="111">
        <f t="shared" si="220"/>
        <v>18000000</v>
      </c>
      <c r="AB968" s="111">
        <f t="shared" si="221"/>
        <v>0</v>
      </c>
    </row>
    <row r="969" spans="1:28" ht="15.75" customHeight="1">
      <c r="A969" s="114" t="s">
        <v>1508</v>
      </c>
      <c r="B969" s="125" t="s">
        <v>1501</v>
      </c>
      <c r="C969" s="97" t="s">
        <v>3186</v>
      </c>
      <c r="D969" s="97" t="s">
        <v>3193</v>
      </c>
      <c r="E969" s="559" t="s">
        <v>1509</v>
      </c>
      <c r="F969" s="540" t="s">
        <v>5400</v>
      </c>
      <c r="G969" s="555" t="s">
        <v>406</v>
      </c>
      <c r="H969" s="555" t="s">
        <v>2962</v>
      </c>
      <c r="I969" s="556" t="s">
        <v>1510</v>
      </c>
      <c r="J969" s="557" t="s">
        <v>3564</v>
      </c>
      <c r="K969" s="558" t="s">
        <v>3565</v>
      </c>
      <c r="L969" s="95"/>
      <c r="M969" s="104"/>
      <c r="N969" s="137">
        <v>1944673.14</v>
      </c>
      <c r="O969" s="138">
        <v>2000000</v>
      </c>
      <c r="P969" s="138">
        <v>2000000</v>
      </c>
      <c r="Q969" s="138">
        <v>2000000</v>
      </c>
      <c r="R969" s="138">
        <v>2000000</v>
      </c>
      <c r="S969" s="139">
        <v>2000000</v>
      </c>
      <c r="T969" s="322">
        <f t="shared" si="237"/>
        <v>55326.860000000102</v>
      </c>
      <c r="U969" s="140">
        <f t="shared" si="238"/>
        <v>2.8450467516613155E-2</v>
      </c>
      <c r="V969" s="322">
        <f t="shared" ref="V969:V1032" si="242">IF(O969="","",Q969-O969)</f>
        <v>0</v>
      </c>
      <c r="W969" s="140">
        <f t="shared" si="239"/>
        <v>0</v>
      </c>
      <c r="X969" s="322">
        <f t="shared" si="240"/>
        <v>0</v>
      </c>
      <c r="Y969" s="140">
        <f t="shared" si="241"/>
        <v>0</v>
      </c>
      <c r="Z969" s="519">
        <v>1500000</v>
      </c>
      <c r="AA969" s="111">
        <f t="shared" ref="AA969:AA1032" si="243">Z969/3*4</f>
        <v>2000000</v>
      </c>
      <c r="AB969" s="111">
        <f t="shared" ref="AB969:AB1032" si="244">P969-AA969</f>
        <v>0</v>
      </c>
    </row>
    <row r="970" spans="1:28" ht="15.75" customHeight="1">
      <c r="A970" s="114" t="s">
        <v>1511</v>
      </c>
      <c r="B970" s="125" t="s">
        <v>1501</v>
      </c>
      <c r="C970" s="97" t="s">
        <v>3186</v>
      </c>
      <c r="D970" s="97" t="s">
        <v>2631</v>
      </c>
      <c r="E970" s="559" t="s">
        <v>1513</v>
      </c>
      <c r="F970" s="540" t="s">
        <v>1512</v>
      </c>
      <c r="G970" s="555" t="s">
        <v>408</v>
      </c>
      <c r="H970" s="555" t="s">
        <v>2963</v>
      </c>
      <c r="I970" s="556" t="s">
        <v>2964</v>
      </c>
      <c r="J970" s="557" t="s">
        <v>3564</v>
      </c>
      <c r="K970" s="558" t="s">
        <v>3565</v>
      </c>
      <c r="L970" s="95"/>
      <c r="M970" s="104"/>
      <c r="N970" s="137">
        <v>386456.06</v>
      </c>
      <c r="O970" s="138">
        <v>300000</v>
      </c>
      <c r="P970" s="138">
        <v>300000</v>
      </c>
      <c r="Q970" s="138">
        <v>300000</v>
      </c>
      <c r="R970" s="138">
        <v>300000</v>
      </c>
      <c r="S970" s="138">
        <v>300000</v>
      </c>
      <c r="T970" s="322">
        <f t="shared" si="237"/>
        <v>-86456.06</v>
      </c>
      <c r="U970" s="140">
        <f t="shared" si="238"/>
        <v>-0.2237151100696933</v>
      </c>
      <c r="V970" s="322">
        <f t="shared" si="242"/>
        <v>0</v>
      </c>
      <c r="W970" s="140">
        <f t="shared" si="239"/>
        <v>0</v>
      </c>
      <c r="X970" s="322">
        <f t="shared" si="240"/>
        <v>0</v>
      </c>
      <c r="Y970" s="140">
        <f t="shared" si="241"/>
        <v>0</v>
      </c>
      <c r="Z970" s="519">
        <v>225000</v>
      </c>
      <c r="AA970" s="111">
        <f t="shared" si="243"/>
        <v>300000</v>
      </c>
      <c r="AB970" s="111">
        <f t="shared" si="244"/>
        <v>0</v>
      </c>
    </row>
    <row r="971" spans="1:28" ht="25.5" customHeight="1">
      <c r="A971" s="113" t="s">
        <v>1515</v>
      </c>
      <c r="B971" s="135" t="s">
        <v>1516</v>
      </c>
      <c r="C971" s="136" t="s">
        <v>3184</v>
      </c>
      <c r="D971" s="136" t="s">
        <v>3185</v>
      </c>
      <c r="E971" s="529" t="s">
        <v>1518</v>
      </c>
      <c r="F971" s="529" t="s">
        <v>1517</v>
      </c>
      <c r="G971" s="530"/>
      <c r="H971" s="530"/>
      <c r="I971" s="531"/>
      <c r="J971" s="532"/>
      <c r="K971" s="533"/>
      <c r="L971" s="95"/>
      <c r="M971" s="147"/>
      <c r="N971" s="137">
        <v>0</v>
      </c>
      <c r="O971" s="138">
        <v>0</v>
      </c>
      <c r="P971" s="138">
        <v>0</v>
      </c>
      <c r="Q971" s="138">
        <v>0</v>
      </c>
      <c r="R971" s="138">
        <v>0</v>
      </c>
      <c r="S971" s="139">
        <v>0</v>
      </c>
      <c r="T971" s="322">
        <f t="shared" si="237"/>
        <v>0</v>
      </c>
      <c r="U971" s="140" t="str">
        <f t="shared" si="238"/>
        <v/>
      </c>
      <c r="V971" s="322">
        <f t="shared" si="242"/>
        <v>0</v>
      </c>
      <c r="W971" s="140" t="str">
        <f t="shared" si="239"/>
        <v/>
      </c>
      <c r="X971" s="322">
        <f t="shared" si="240"/>
        <v>0</v>
      </c>
      <c r="Y971" s="140" t="str">
        <f t="shared" si="241"/>
        <v/>
      </c>
      <c r="Z971" s="519">
        <v>0</v>
      </c>
      <c r="AA971" s="111">
        <f t="shared" si="243"/>
        <v>0</v>
      </c>
      <c r="AB971" s="111">
        <f t="shared" si="244"/>
        <v>0</v>
      </c>
    </row>
    <row r="972" spans="1:28" ht="16.5" customHeight="1">
      <c r="A972" s="115" t="s">
        <v>1519</v>
      </c>
      <c r="B972" s="124" t="s">
        <v>1516</v>
      </c>
      <c r="C972" s="101" t="s">
        <v>3186</v>
      </c>
      <c r="D972" s="101" t="s">
        <v>3185</v>
      </c>
      <c r="E972" s="554" t="s">
        <v>1521</v>
      </c>
      <c r="F972" s="534" t="s">
        <v>1520</v>
      </c>
      <c r="G972" s="555"/>
      <c r="H972" s="555"/>
      <c r="I972" s="556"/>
      <c r="J972" s="557"/>
      <c r="K972" s="558"/>
      <c r="L972" s="95"/>
      <c r="M972" s="104"/>
      <c r="N972" s="137">
        <v>0</v>
      </c>
      <c r="O972" s="138">
        <v>0</v>
      </c>
      <c r="P972" s="138">
        <v>0</v>
      </c>
      <c r="Q972" s="138">
        <v>0</v>
      </c>
      <c r="R972" s="138">
        <v>0</v>
      </c>
      <c r="S972" s="139">
        <v>0</v>
      </c>
      <c r="T972" s="322">
        <f t="shared" si="237"/>
        <v>0</v>
      </c>
      <c r="U972" s="140" t="str">
        <f t="shared" si="238"/>
        <v/>
      </c>
      <c r="V972" s="322">
        <f t="shared" si="242"/>
        <v>0</v>
      </c>
      <c r="W972" s="140" t="str">
        <f t="shared" si="239"/>
        <v/>
      </c>
      <c r="X972" s="322">
        <f t="shared" si="240"/>
        <v>0</v>
      </c>
      <c r="Y972" s="140" t="str">
        <f t="shared" si="241"/>
        <v/>
      </c>
      <c r="Z972" s="519">
        <v>0</v>
      </c>
      <c r="AA972" s="111">
        <f t="shared" si="243"/>
        <v>0</v>
      </c>
      <c r="AB972" s="111">
        <f t="shared" si="244"/>
        <v>0</v>
      </c>
    </row>
    <row r="973" spans="1:28" ht="27.75" customHeight="1">
      <c r="A973" s="114" t="s">
        <v>1522</v>
      </c>
      <c r="B973" s="125" t="s">
        <v>1516</v>
      </c>
      <c r="C973" s="97" t="s">
        <v>3186</v>
      </c>
      <c r="D973" s="97" t="s">
        <v>3183</v>
      </c>
      <c r="E973" s="559" t="s">
        <v>1524</v>
      </c>
      <c r="F973" s="540" t="s">
        <v>1523</v>
      </c>
      <c r="G973" s="555" t="s">
        <v>402</v>
      </c>
      <c r="H973" s="512" t="s">
        <v>5183</v>
      </c>
      <c r="I973" s="556" t="s">
        <v>2966</v>
      </c>
      <c r="J973" s="557" t="s">
        <v>3562</v>
      </c>
      <c r="K973" s="558" t="s">
        <v>3563</v>
      </c>
      <c r="L973" s="95"/>
      <c r="M973" s="104"/>
      <c r="N973" s="137">
        <v>2466327.2800000003</v>
      </c>
      <c r="O973" s="138">
        <v>2260000</v>
      </c>
      <c r="P973" s="138">
        <v>2580000</v>
      </c>
      <c r="Q973" s="138">
        <v>2580000</v>
      </c>
      <c r="R973" s="138">
        <v>2580000</v>
      </c>
      <c r="S973" s="139">
        <v>2580000</v>
      </c>
      <c r="T973" s="322">
        <f t="shared" si="237"/>
        <v>113672.71999999974</v>
      </c>
      <c r="U973" s="140">
        <f t="shared" si="238"/>
        <v>4.6089876603886783E-2</v>
      </c>
      <c r="V973" s="322">
        <f t="shared" si="242"/>
        <v>320000</v>
      </c>
      <c r="W973" s="140">
        <f t="shared" si="239"/>
        <v>0.1415929203539823</v>
      </c>
      <c r="X973" s="322">
        <f t="shared" si="240"/>
        <v>0</v>
      </c>
      <c r="Y973" s="140">
        <f t="shared" si="241"/>
        <v>0</v>
      </c>
      <c r="Z973" s="519">
        <v>1935000</v>
      </c>
      <c r="AA973" s="111">
        <f t="shared" si="243"/>
        <v>2580000</v>
      </c>
      <c r="AB973" s="111">
        <f t="shared" si="244"/>
        <v>0</v>
      </c>
    </row>
    <row r="974" spans="1:28" ht="24.75" customHeight="1">
      <c r="A974" s="115" t="s">
        <v>1525</v>
      </c>
      <c r="B974" s="124" t="s">
        <v>1516</v>
      </c>
      <c r="C974" s="101" t="s">
        <v>3187</v>
      </c>
      <c r="D974" s="101" t="s">
        <v>3185</v>
      </c>
      <c r="E974" s="554" t="s">
        <v>1527</v>
      </c>
      <c r="F974" s="534" t="s">
        <v>1526</v>
      </c>
      <c r="G974" s="555"/>
      <c r="H974" s="555"/>
      <c r="I974" s="556"/>
      <c r="J974" s="557"/>
      <c r="K974" s="558"/>
      <c r="L974" s="95"/>
      <c r="M974" s="104"/>
      <c r="N974" s="137">
        <v>0</v>
      </c>
      <c r="O974" s="138">
        <v>0</v>
      </c>
      <c r="P974" s="138">
        <v>0</v>
      </c>
      <c r="Q974" s="138">
        <v>0</v>
      </c>
      <c r="R974" s="138">
        <v>0</v>
      </c>
      <c r="S974" s="139">
        <v>0</v>
      </c>
      <c r="T974" s="322">
        <f t="shared" si="237"/>
        <v>0</v>
      </c>
      <c r="U974" s="140" t="str">
        <f t="shared" si="238"/>
        <v/>
      </c>
      <c r="V974" s="322">
        <f t="shared" si="242"/>
        <v>0</v>
      </c>
      <c r="W974" s="140" t="str">
        <f t="shared" si="239"/>
        <v/>
      </c>
      <c r="X974" s="322">
        <f t="shared" si="240"/>
        <v>0</v>
      </c>
      <c r="Y974" s="140" t="str">
        <f t="shared" si="241"/>
        <v/>
      </c>
      <c r="Z974" s="519">
        <v>0</v>
      </c>
      <c r="AA974" s="111">
        <f t="shared" si="243"/>
        <v>0</v>
      </c>
      <c r="AB974" s="111">
        <f t="shared" si="244"/>
        <v>0</v>
      </c>
    </row>
    <row r="975" spans="1:28" ht="16.5" customHeight="1">
      <c r="A975" s="116" t="s">
        <v>2967</v>
      </c>
      <c r="B975" s="126" t="s">
        <v>1516</v>
      </c>
      <c r="C975" s="98" t="s">
        <v>3187</v>
      </c>
      <c r="D975" s="98" t="s">
        <v>3099</v>
      </c>
      <c r="E975" s="540" t="s">
        <v>2968</v>
      </c>
      <c r="F975" s="540" t="s">
        <v>2969</v>
      </c>
      <c r="G975" s="511" t="s">
        <v>370</v>
      </c>
      <c r="H975" s="511" t="s">
        <v>2970</v>
      </c>
      <c r="I975" s="544" t="s">
        <v>2971</v>
      </c>
      <c r="J975" s="557" t="s">
        <v>3562</v>
      </c>
      <c r="K975" s="558" t="s">
        <v>3563</v>
      </c>
      <c r="L975" s="95"/>
      <c r="M975" s="104"/>
      <c r="N975" s="137">
        <v>748205.23</v>
      </c>
      <c r="O975" s="138">
        <v>19000</v>
      </c>
      <c r="P975" s="138">
        <v>30000</v>
      </c>
      <c r="Q975" s="138">
        <v>30000</v>
      </c>
      <c r="R975" s="138">
        <v>30000</v>
      </c>
      <c r="S975" s="139">
        <v>30000</v>
      </c>
      <c r="T975" s="322">
        <f t="shared" si="237"/>
        <v>-718205.23</v>
      </c>
      <c r="U975" s="140">
        <f t="shared" si="238"/>
        <v>-0.95990404932079931</v>
      </c>
      <c r="V975" s="322">
        <f t="shared" si="242"/>
        <v>11000</v>
      </c>
      <c r="W975" s="140">
        <f t="shared" si="239"/>
        <v>0.57894736842105265</v>
      </c>
      <c r="X975" s="322">
        <f t="shared" si="240"/>
        <v>0</v>
      </c>
      <c r="Y975" s="140">
        <f t="shared" si="241"/>
        <v>0</v>
      </c>
      <c r="Z975" s="519">
        <v>23471.41</v>
      </c>
      <c r="AA975" s="111">
        <f t="shared" si="243"/>
        <v>31295.213333333333</v>
      </c>
      <c r="AB975" s="111">
        <f t="shared" si="244"/>
        <v>-1295.2133333333331</v>
      </c>
    </row>
    <row r="976" spans="1:28" ht="27.75" customHeight="1">
      <c r="A976" s="114" t="s">
        <v>1528</v>
      </c>
      <c r="B976" s="125" t="s">
        <v>1516</v>
      </c>
      <c r="C976" s="97" t="s">
        <v>3187</v>
      </c>
      <c r="D976" s="97" t="s">
        <v>3183</v>
      </c>
      <c r="E976" s="559" t="s">
        <v>1529</v>
      </c>
      <c r="F976" s="540" t="s">
        <v>5401</v>
      </c>
      <c r="G976" s="555" t="s">
        <v>402</v>
      </c>
      <c r="H976" s="512" t="s">
        <v>5183</v>
      </c>
      <c r="I976" s="556" t="s">
        <v>2966</v>
      </c>
      <c r="J976" s="557" t="s">
        <v>3562</v>
      </c>
      <c r="K976" s="558" t="s">
        <v>3563</v>
      </c>
      <c r="L976" s="95"/>
      <c r="M976" s="104"/>
      <c r="N976" s="137">
        <v>13813.14</v>
      </c>
      <c r="O976" s="138">
        <v>14000</v>
      </c>
      <c r="P976" s="138">
        <v>5000</v>
      </c>
      <c r="Q976" s="138">
        <v>5000</v>
      </c>
      <c r="R976" s="138">
        <v>5000</v>
      </c>
      <c r="S976" s="139">
        <v>5000</v>
      </c>
      <c r="T976" s="322">
        <f t="shared" si="237"/>
        <v>-8813.14</v>
      </c>
      <c r="U976" s="140">
        <f t="shared" si="238"/>
        <v>-0.6380258217899768</v>
      </c>
      <c r="V976" s="322">
        <f t="shared" si="242"/>
        <v>-9000</v>
      </c>
      <c r="W976" s="140">
        <f t="shared" si="239"/>
        <v>-0.6428571428571429</v>
      </c>
      <c r="X976" s="322">
        <f t="shared" si="240"/>
        <v>0</v>
      </c>
      <c r="Y976" s="140">
        <f t="shared" si="241"/>
        <v>0</v>
      </c>
      <c r="Z976" s="519">
        <v>0</v>
      </c>
      <c r="AA976" s="111">
        <f t="shared" si="243"/>
        <v>0</v>
      </c>
      <c r="AB976" s="111">
        <f t="shared" si="244"/>
        <v>5000</v>
      </c>
    </row>
    <row r="977" spans="1:28" ht="31.5">
      <c r="A977" s="114" t="s">
        <v>1530</v>
      </c>
      <c r="B977" s="125" t="s">
        <v>1516</v>
      </c>
      <c r="C977" s="97" t="s">
        <v>3187</v>
      </c>
      <c r="D977" s="97" t="s">
        <v>1552</v>
      </c>
      <c r="E977" s="540" t="s">
        <v>1532</v>
      </c>
      <c r="F977" s="540" t="s">
        <v>1531</v>
      </c>
      <c r="G977" s="555" t="s">
        <v>402</v>
      </c>
      <c r="H977" s="512" t="s">
        <v>5183</v>
      </c>
      <c r="I977" s="556" t="s">
        <v>2966</v>
      </c>
      <c r="J977" s="557" t="s">
        <v>3562</v>
      </c>
      <c r="K977" s="558" t="s">
        <v>3563</v>
      </c>
      <c r="L977" s="95"/>
      <c r="M977" s="104"/>
      <c r="N977" s="137">
        <v>131273</v>
      </c>
      <c r="O977" s="138">
        <v>285000</v>
      </c>
      <c r="P977" s="138">
        <v>300000</v>
      </c>
      <c r="Q977" s="138">
        <v>300000</v>
      </c>
      <c r="R977" s="138">
        <v>300000</v>
      </c>
      <c r="S977" s="139">
        <v>300000</v>
      </c>
      <c r="T977" s="322">
        <f t="shared" si="237"/>
        <v>168727</v>
      </c>
      <c r="U977" s="140">
        <f t="shared" si="238"/>
        <v>1.2853138116749065</v>
      </c>
      <c r="V977" s="322">
        <f t="shared" si="242"/>
        <v>15000</v>
      </c>
      <c r="W977" s="140">
        <f t="shared" si="239"/>
        <v>5.2631578947368418E-2</v>
      </c>
      <c r="X977" s="322">
        <f t="shared" si="240"/>
        <v>0</v>
      </c>
      <c r="Y977" s="140">
        <f t="shared" si="241"/>
        <v>0</v>
      </c>
      <c r="Z977" s="519">
        <v>165506.22</v>
      </c>
      <c r="AA977" s="111">
        <f t="shared" si="243"/>
        <v>220674.96</v>
      </c>
      <c r="AB977" s="111">
        <f t="shared" si="244"/>
        <v>79325.040000000008</v>
      </c>
    </row>
    <row r="978" spans="1:28" ht="16.5" customHeight="1">
      <c r="A978" s="114" t="s">
        <v>1533</v>
      </c>
      <c r="B978" s="125" t="s">
        <v>1516</v>
      </c>
      <c r="C978" s="97" t="s">
        <v>3187</v>
      </c>
      <c r="D978" s="97" t="s">
        <v>1405</v>
      </c>
      <c r="E978" s="540" t="s">
        <v>1535</v>
      </c>
      <c r="F978" s="540" t="s">
        <v>1534</v>
      </c>
      <c r="G978" s="555" t="s">
        <v>229</v>
      </c>
      <c r="H978" s="555" t="s">
        <v>2972</v>
      </c>
      <c r="I978" s="556" t="s">
        <v>2973</v>
      </c>
      <c r="J978" s="557" t="s">
        <v>3572</v>
      </c>
      <c r="K978" s="558" t="s">
        <v>3574</v>
      </c>
      <c r="L978" s="95"/>
      <c r="M978" s="104"/>
      <c r="N978" s="137">
        <v>317686.15999999997</v>
      </c>
      <c r="O978" s="138">
        <v>90000</v>
      </c>
      <c r="P978" s="138">
        <v>90000</v>
      </c>
      <c r="Q978" s="138">
        <v>90000</v>
      </c>
      <c r="R978" s="138">
        <v>90000</v>
      </c>
      <c r="S978" s="139">
        <v>90000</v>
      </c>
      <c r="T978" s="322">
        <f t="shared" si="237"/>
        <v>-227686.15999999997</v>
      </c>
      <c r="U978" s="140">
        <f t="shared" si="238"/>
        <v>-0.71670153965788119</v>
      </c>
      <c r="V978" s="322">
        <f t="shared" si="242"/>
        <v>0</v>
      </c>
      <c r="W978" s="140">
        <f t="shared" si="239"/>
        <v>0</v>
      </c>
      <c r="X978" s="322">
        <f t="shared" si="240"/>
        <v>0</v>
      </c>
      <c r="Y978" s="140">
        <f t="shared" si="241"/>
        <v>0</v>
      </c>
      <c r="Z978" s="519">
        <v>67500</v>
      </c>
      <c r="AA978" s="111">
        <f t="shared" si="243"/>
        <v>90000</v>
      </c>
      <c r="AB978" s="111">
        <f t="shared" si="244"/>
        <v>0</v>
      </c>
    </row>
    <row r="979" spans="1:28" ht="31.5">
      <c r="A979" s="114" t="s">
        <v>1536</v>
      </c>
      <c r="B979" s="125" t="s">
        <v>1516</v>
      </c>
      <c r="C979" s="97" t="s">
        <v>3187</v>
      </c>
      <c r="D979" s="97" t="s">
        <v>1558</v>
      </c>
      <c r="E979" s="559" t="s">
        <v>4613</v>
      </c>
      <c r="F979" s="540" t="s">
        <v>4611</v>
      </c>
      <c r="G979" s="555" t="s">
        <v>402</v>
      </c>
      <c r="H979" s="512" t="s">
        <v>5183</v>
      </c>
      <c r="I979" s="556" t="s">
        <v>2966</v>
      </c>
      <c r="J979" s="557" t="s">
        <v>3562</v>
      </c>
      <c r="K979" s="558" t="s">
        <v>3563</v>
      </c>
      <c r="L979" s="95"/>
      <c r="M979" s="104"/>
      <c r="N979" s="137">
        <v>655113.20000000007</v>
      </c>
      <c r="O979" s="138">
        <v>835000</v>
      </c>
      <c r="P979" s="138">
        <v>655000</v>
      </c>
      <c r="Q979" s="138">
        <v>655000</v>
      </c>
      <c r="R979" s="138">
        <v>655000</v>
      </c>
      <c r="S979" s="139">
        <v>655000</v>
      </c>
      <c r="T979" s="322">
        <f t="shared" si="237"/>
        <v>-113.20000000006985</v>
      </c>
      <c r="U979" s="140">
        <f t="shared" si="238"/>
        <v>-1.7279456435936543E-4</v>
      </c>
      <c r="V979" s="322">
        <f t="shared" si="242"/>
        <v>-180000</v>
      </c>
      <c r="W979" s="140">
        <f t="shared" si="239"/>
        <v>-0.21556886227544911</v>
      </c>
      <c r="X979" s="322">
        <f t="shared" si="240"/>
        <v>0</v>
      </c>
      <c r="Y979" s="140">
        <f t="shared" si="241"/>
        <v>0</v>
      </c>
      <c r="Z979" s="519">
        <v>491250</v>
      </c>
      <c r="AA979" s="111">
        <f t="shared" si="243"/>
        <v>655000</v>
      </c>
      <c r="AB979" s="111">
        <f t="shared" si="244"/>
        <v>0</v>
      </c>
    </row>
    <row r="980" spans="1:28" ht="22.5">
      <c r="A980" s="114" t="s">
        <v>4610</v>
      </c>
      <c r="B980" s="125" t="s">
        <v>1516</v>
      </c>
      <c r="C980" s="97" t="s">
        <v>3187</v>
      </c>
      <c r="D980" s="97" t="s">
        <v>2291</v>
      </c>
      <c r="E980" s="559" t="s">
        <v>4612</v>
      </c>
      <c r="F980" s="540" t="s">
        <v>5595</v>
      </c>
      <c r="G980" s="555" t="s">
        <v>390</v>
      </c>
      <c r="H980" s="555" t="s">
        <v>2438</v>
      </c>
      <c r="I980" s="556" t="s">
        <v>2439</v>
      </c>
      <c r="J980" s="557" t="s">
        <v>3562</v>
      </c>
      <c r="K980" s="558" t="s">
        <v>3563</v>
      </c>
      <c r="L980" s="95"/>
      <c r="M980" s="104"/>
      <c r="N980" s="137">
        <v>699653.08</v>
      </c>
      <c r="O980" s="138">
        <v>600000</v>
      </c>
      <c r="P980" s="138">
        <v>700000</v>
      </c>
      <c r="Q980" s="138">
        <v>700000</v>
      </c>
      <c r="R980" s="138">
        <v>700000</v>
      </c>
      <c r="S980" s="139">
        <v>700000</v>
      </c>
      <c r="T980" s="322">
        <f t="shared" si="237"/>
        <v>346.92000000004191</v>
      </c>
      <c r="U980" s="140">
        <f t="shared" si="238"/>
        <v>4.958457411493735E-4</v>
      </c>
      <c r="V980" s="322">
        <f t="shared" si="242"/>
        <v>100000</v>
      </c>
      <c r="W980" s="140">
        <f t="shared" si="239"/>
        <v>0.16666666666666666</v>
      </c>
      <c r="X980" s="322">
        <f t="shared" si="240"/>
        <v>0</v>
      </c>
      <c r="Y980" s="140">
        <f t="shared" si="241"/>
        <v>0</v>
      </c>
      <c r="Z980" s="519">
        <v>525000</v>
      </c>
      <c r="AA980" s="111">
        <f t="shared" si="243"/>
        <v>700000</v>
      </c>
      <c r="AB980" s="111">
        <f t="shared" si="244"/>
        <v>0</v>
      </c>
    </row>
    <row r="981" spans="1:28" ht="38.25" customHeight="1">
      <c r="A981" s="116" t="s">
        <v>2974</v>
      </c>
      <c r="B981" s="126" t="s">
        <v>1516</v>
      </c>
      <c r="C981" s="98" t="s">
        <v>3187</v>
      </c>
      <c r="D981" s="98" t="s">
        <v>2632</v>
      </c>
      <c r="E981" s="540" t="s">
        <v>2975</v>
      </c>
      <c r="F981" s="540" t="s">
        <v>2976</v>
      </c>
      <c r="G981" s="511" t="s">
        <v>374</v>
      </c>
      <c r="H981" s="511" t="s">
        <v>2977</v>
      </c>
      <c r="I981" s="544" t="s">
        <v>2978</v>
      </c>
      <c r="J981" s="557" t="s">
        <v>3562</v>
      </c>
      <c r="K981" s="558" t="s">
        <v>3563</v>
      </c>
      <c r="L981" s="95"/>
      <c r="M981" s="104"/>
      <c r="N981" s="137">
        <v>1085388.74</v>
      </c>
      <c r="O981" s="138">
        <v>1000000</v>
      </c>
      <c r="P981" s="138">
        <v>1000000</v>
      </c>
      <c r="Q981" s="138">
        <v>1000000</v>
      </c>
      <c r="R981" s="138">
        <v>1000000</v>
      </c>
      <c r="S981" s="139">
        <v>1000000</v>
      </c>
      <c r="T981" s="322">
        <f t="shared" si="237"/>
        <v>-85388.739999999991</v>
      </c>
      <c r="U981" s="140">
        <f t="shared" si="238"/>
        <v>-7.8671112803326101E-2</v>
      </c>
      <c r="V981" s="322">
        <f t="shared" si="242"/>
        <v>0</v>
      </c>
      <c r="W981" s="140">
        <f t="shared" si="239"/>
        <v>0</v>
      </c>
      <c r="X981" s="322">
        <f t="shared" si="240"/>
        <v>0</v>
      </c>
      <c r="Y981" s="140">
        <f t="shared" si="241"/>
        <v>0</v>
      </c>
      <c r="Z981" s="519">
        <v>750000</v>
      </c>
      <c r="AA981" s="111">
        <f t="shared" si="243"/>
        <v>1000000</v>
      </c>
      <c r="AB981" s="111">
        <f t="shared" si="244"/>
        <v>0</v>
      </c>
    </row>
    <row r="982" spans="1:28" ht="38.25" customHeight="1">
      <c r="A982" s="116" t="s">
        <v>2979</v>
      </c>
      <c r="B982" s="126" t="s">
        <v>1516</v>
      </c>
      <c r="C982" s="98" t="s">
        <v>3187</v>
      </c>
      <c r="D982" s="98" t="s">
        <v>2980</v>
      </c>
      <c r="E982" s="540" t="s">
        <v>2981</v>
      </c>
      <c r="F982" s="540" t="s">
        <v>2982</v>
      </c>
      <c r="G982" s="511" t="s">
        <v>386</v>
      </c>
      <c r="H982" s="511" t="s">
        <v>2983</v>
      </c>
      <c r="I982" s="544" t="s">
        <v>2984</v>
      </c>
      <c r="J982" s="557" t="s">
        <v>3562</v>
      </c>
      <c r="K982" s="558" t="s">
        <v>3563</v>
      </c>
      <c r="L982" s="95"/>
      <c r="M982" s="104"/>
      <c r="N982" s="137">
        <v>3774619.63</v>
      </c>
      <c r="O982" s="138">
        <v>3712000</v>
      </c>
      <c r="P982" s="138">
        <v>3300000</v>
      </c>
      <c r="Q982" s="138">
        <v>3300000</v>
      </c>
      <c r="R982" s="138">
        <v>3300000</v>
      </c>
      <c r="S982" s="139">
        <v>3300000</v>
      </c>
      <c r="T982" s="322">
        <f t="shared" si="237"/>
        <v>-474619.62999999989</v>
      </c>
      <c r="U982" s="140">
        <f t="shared" si="238"/>
        <v>-0.12573972387252166</v>
      </c>
      <c r="V982" s="322">
        <f t="shared" si="242"/>
        <v>-412000</v>
      </c>
      <c r="W982" s="140">
        <f t="shared" si="239"/>
        <v>-0.11099137931034483</v>
      </c>
      <c r="X982" s="322">
        <f t="shared" si="240"/>
        <v>0</v>
      </c>
      <c r="Y982" s="140">
        <f t="shared" si="241"/>
        <v>0</v>
      </c>
      <c r="Z982" s="519">
        <v>2475000</v>
      </c>
      <c r="AA982" s="111">
        <f t="shared" si="243"/>
        <v>3300000</v>
      </c>
      <c r="AB982" s="111">
        <f t="shared" si="244"/>
        <v>0</v>
      </c>
    </row>
    <row r="983" spans="1:28" ht="27.75" customHeight="1">
      <c r="A983" s="116" t="s">
        <v>2985</v>
      </c>
      <c r="B983" s="126" t="s">
        <v>1516</v>
      </c>
      <c r="C983" s="98" t="s">
        <v>3187</v>
      </c>
      <c r="D983" s="98" t="s">
        <v>2986</v>
      </c>
      <c r="E983" s="540" t="s">
        <v>2987</v>
      </c>
      <c r="F983" s="540" t="s">
        <v>2988</v>
      </c>
      <c r="G983" s="511" t="s">
        <v>376</v>
      </c>
      <c r="H983" s="511" t="s">
        <v>2989</v>
      </c>
      <c r="I983" s="544" t="s">
        <v>2990</v>
      </c>
      <c r="J983" s="557" t="s">
        <v>3562</v>
      </c>
      <c r="K983" s="558" t="s">
        <v>3563</v>
      </c>
      <c r="L983" s="95"/>
      <c r="M983" s="104"/>
      <c r="N983" s="137">
        <v>1963928.43</v>
      </c>
      <c r="O983" s="138">
        <v>1644000</v>
      </c>
      <c r="P983" s="138">
        <v>2000000</v>
      </c>
      <c r="Q983" s="138">
        <v>2000000</v>
      </c>
      <c r="R983" s="138">
        <v>2000000</v>
      </c>
      <c r="S983" s="138">
        <v>2000000</v>
      </c>
      <c r="T983" s="322">
        <f t="shared" si="237"/>
        <v>36071.570000000065</v>
      </c>
      <c r="U983" s="140">
        <f t="shared" si="238"/>
        <v>1.8367049149545671E-2</v>
      </c>
      <c r="V983" s="322">
        <f t="shared" si="242"/>
        <v>356000</v>
      </c>
      <c r="W983" s="140">
        <f t="shared" si="239"/>
        <v>0.21654501216545013</v>
      </c>
      <c r="X983" s="322">
        <f t="shared" si="240"/>
        <v>0</v>
      </c>
      <c r="Y983" s="140">
        <f t="shared" si="241"/>
        <v>0</v>
      </c>
      <c r="Z983" s="519">
        <v>1500000</v>
      </c>
      <c r="AA983" s="111">
        <f t="shared" si="243"/>
        <v>2000000</v>
      </c>
      <c r="AB983" s="111">
        <f t="shared" si="244"/>
        <v>0</v>
      </c>
    </row>
    <row r="984" spans="1:28" ht="16.5" customHeight="1">
      <c r="A984" s="114" t="s">
        <v>131</v>
      </c>
      <c r="B984" s="125" t="s">
        <v>1516</v>
      </c>
      <c r="C984" s="97" t="s">
        <v>3187</v>
      </c>
      <c r="D984" s="97" t="s">
        <v>80</v>
      </c>
      <c r="E984" s="559" t="s">
        <v>133</v>
      </c>
      <c r="F984" s="540" t="s">
        <v>132</v>
      </c>
      <c r="G984" s="555" t="s">
        <v>402</v>
      </c>
      <c r="H984" s="512" t="s">
        <v>5183</v>
      </c>
      <c r="I984" s="556" t="s">
        <v>2966</v>
      </c>
      <c r="J984" s="557" t="s">
        <v>3562</v>
      </c>
      <c r="K984" s="558" t="s">
        <v>3563</v>
      </c>
      <c r="L984" s="95"/>
      <c r="M984" s="104"/>
      <c r="N984" s="137">
        <v>73600.17</v>
      </c>
      <c r="O984" s="138">
        <v>65000</v>
      </c>
      <c r="P984" s="138">
        <v>65000</v>
      </c>
      <c r="Q984" s="138">
        <v>65000</v>
      </c>
      <c r="R984" s="138">
        <v>65000</v>
      </c>
      <c r="S984" s="139">
        <v>65000</v>
      </c>
      <c r="T984" s="322">
        <f t="shared" si="237"/>
        <v>-8600.1699999999983</v>
      </c>
      <c r="U984" s="140">
        <f t="shared" si="238"/>
        <v>-0.11684986597177695</v>
      </c>
      <c r="V984" s="322">
        <f t="shared" si="242"/>
        <v>0</v>
      </c>
      <c r="W984" s="140">
        <f t="shared" si="239"/>
        <v>0</v>
      </c>
      <c r="X984" s="322">
        <f t="shared" si="240"/>
        <v>0</v>
      </c>
      <c r="Y984" s="140">
        <f t="shared" si="241"/>
        <v>0</v>
      </c>
      <c r="Z984" s="519">
        <v>55978.33</v>
      </c>
      <c r="AA984" s="111">
        <f t="shared" si="243"/>
        <v>74637.773333333331</v>
      </c>
      <c r="AB984" s="111">
        <f t="shared" si="244"/>
        <v>-9637.7733333333308</v>
      </c>
    </row>
    <row r="985" spans="1:28" ht="22.5">
      <c r="A985" s="114" t="s">
        <v>134</v>
      </c>
      <c r="B985" s="125" t="s">
        <v>1516</v>
      </c>
      <c r="C985" s="97" t="s">
        <v>3187</v>
      </c>
      <c r="D985" s="97" t="s">
        <v>1693</v>
      </c>
      <c r="E985" s="559" t="s">
        <v>136</v>
      </c>
      <c r="F985" s="540" t="s">
        <v>135</v>
      </c>
      <c r="G985" s="555" t="s">
        <v>402</v>
      </c>
      <c r="H985" s="512" t="s">
        <v>5183</v>
      </c>
      <c r="I985" s="556" t="s">
        <v>2966</v>
      </c>
      <c r="J985" s="557" t="s">
        <v>3562</v>
      </c>
      <c r="K985" s="558" t="s">
        <v>3563</v>
      </c>
      <c r="L985" s="95"/>
      <c r="M985" s="104"/>
      <c r="N985" s="137">
        <v>239671.13</v>
      </c>
      <c r="O985" s="138">
        <v>280000</v>
      </c>
      <c r="P985" s="138">
        <v>250000</v>
      </c>
      <c r="Q985" s="138">
        <v>250000</v>
      </c>
      <c r="R985" s="138">
        <v>250000</v>
      </c>
      <c r="S985" s="139">
        <v>250000</v>
      </c>
      <c r="T985" s="322">
        <f t="shared" si="237"/>
        <v>10328.869999999995</v>
      </c>
      <c r="U985" s="140">
        <f t="shared" si="238"/>
        <v>4.3096012440046474E-2</v>
      </c>
      <c r="V985" s="322">
        <f t="shared" si="242"/>
        <v>-30000</v>
      </c>
      <c r="W985" s="140">
        <f t="shared" si="239"/>
        <v>-0.10714285714285714</v>
      </c>
      <c r="X985" s="322">
        <f t="shared" si="240"/>
        <v>0</v>
      </c>
      <c r="Y985" s="140">
        <f t="shared" si="241"/>
        <v>0</v>
      </c>
      <c r="Z985" s="519">
        <v>187500</v>
      </c>
      <c r="AA985" s="111">
        <f t="shared" si="243"/>
        <v>250000</v>
      </c>
      <c r="AB985" s="111">
        <f t="shared" si="244"/>
        <v>0</v>
      </c>
    </row>
    <row r="986" spans="1:28" ht="15.75" customHeight="1">
      <c r="A986" s="114" t="s">
        <v>137</v>
      </c>
      <c r="B986" s="125" t="s">
        <v>1516</v>
      </c>
      <c r="C986" s="97" t="s">
        <v>3187</v>
      </c>
      <c r="D986" s="97" t="s">
        <v>1694</v>
      </c>
      <c r="E986" s="559" t="s">
        <v>139</v>
      </c>
      <c r="F986" s="540" t="s">
        <v>138</v>
      </c>
      <c r="G986" s="555" t="s">
        <v>402</v>
      </c>
      <c r="H986" s="512" t="s">
        <v>5183</v>
      </c>
      <c r="I986" s="556" t="s">
        <v>2966</v>
      </c>
      <c r="J986" s="557" t="s">
        <v>3562</v>
      </c>
      <c r="K986" s="558" t="s">
        <v>3563</v>
      </c>
      <c r="L986" s="95"/>
      <c r="M986" s="104"/>
      <c r="N986" s="137">
        <v>0</v>
      </c>
      <c r="O986" s="138">
        <v>0</v>
      </c>
      <c r="P986" s="138">
        <v>0</v>
      </c>
      <c r="Q986" s="138">
        <v>0</v>
      </c>
      <c r="R986" s="138">
        <v>0</v>
      </c>
      <c r="S986" s="139">
        <v>0</v>
      </c>
      <c r="T986" s="322">
        <f t="shared" si="237"/>
        <v>0</v>
      </c>
      <c r="U986" s="140" t="str">
        <f t="shared" si="238"/>
        <v/>
      </c>
      <c r="V986" s="322">
        <f t="shared" si="242"/>
        <v>0</v>
      </c>
      <c r="W986" s="140" t="str">
        <f t="shared" si="239"/>
        <v/>
      </c>
      <c r="X986" s="322">
        <f t="shared" si="240"/>
        <v>0</v>
      </c>
      <c r="Y986" s="140" t="str">
        <f t="shared" si="241"/>
        <v/>
      </c>
      <c r="Z986" s="519">
        <v>0</v>
      </c>
      <c r="AA986" s="111">
        <f t="shared" si="243"/>
        <v>0</v>
      </c>
      <c r="AB986" s="111">
        <f t="shared" si="244"/>
        <v>0</v>
      </c>
    </row>
    <row r="987" spans="1:28" ht="22.5">
      <c r="A987" s="114" t="s">
        <v>140</v>
      </c>
      <c r="B987" s="125" t="s">
        <v>1516</v>
      </c>
      <c r="C987" s="97" t="s">
        <v>3187</v>
      </c>
      <c r="D987" s="97" t="s">
        <v>2137</v>
      </c>
      <c r="E987" s="559" t="s">
        <v>142</v>
      </c>
      <c r="F987" s="540" t="s">
        <v>141</v>
      </c>
      <c r="G987" s="555" t="s">
        <v>402</v>
      </c>
      <c r="H987" s="512" t="s">
        <v>5183</v>
      </c>
      <c r="I987" s="556" t="s">
        <v>2966</v>
      </c>
      <c r="J987" s="557" t="s">
        <v>3562</v>
      </c>
      <c r="K987" s="558" t="s">
        <v>3563</v>
      </c>
      <c r="L987" s="95"/>
      <c r="M987" s="104"/>
      <c r="N987" s="137">
        <v>4683500.2</v>
      </c>
      <c r="O987" s="138">
        <v>4200000</v>
      </c>
      <c r="P987" s="138">
        <v>4600000</v>
      </c>
      <c r="Q987" s="138">
        <v>4600000</v>
      </c>
      <c r="R987" s="138">
        <v>4600000</v>
      </c>
      <c r="S987" s="139">
        <v>4600000</v>
      </c>
      <c r="T987" s="322">
        <f t="shared" si="237"/>
        <v>-83500.200000000186</v>
      </c>
      <c r="U987" s="140">
        <f t="shared" si="238"/>
        <v>-1.7828588968566754E-2</v>
      </c>
      <c r="V987" s="322">
        <f t="shared" si="242"/>
        <v>400000</v>
      </c>
      <c r="W987" s="140">
        <f t="shared" si="239"/>
        <v>9.5238095238095233E-2</v>
      </c>
      <c r="X987" s="322">
        <f t="shared" si="240"/>
        <v>0</v>
      </c>
      <c r="Y987" s="140">
        <f t="shared" si="241"/>
        <v>0</v>
      </c>
      <c r="Z987" s="519">
        <v>3450000</v>
      </c>
      <c r="AA987" s="111">
        <f t="shared" si="243"/>
        <v>4600000</v>
      </c>
      <c r="AB987" s="111">
        <f t="shared" si="244"/>
        <v>0</v>
      </c>
    </row>
    <row r="988" spans="1:28" ht="27" customHeight="1">
      <c r="A988" s="115" t="s">
        <v>143</v>
      </c>
      <c r="B988" s="124" t="s">
        <v>1516</v>
      </c>
      <c r="C988" s="101" t="s">
        <v>3189</v>
      </c>
      <c r="D988" s="101" t="s">
        <v>3185</v>
      </c>
      <c r="E988" s="534" t="s">
        <v>2991</v>
      </c>
      <c r="F988" s="534" t="s">
        <v>2992</v>
      </c>
      <c r="G988" s="555"/>
      <c r="H988" s="555"/>
      <c r="I988" s="556"/>
      <c r="J988" s="557"/>
      <c r="K988" s="558"/>
      <c r="L988" s="95"/>
      <c r="M988" s="104"/>
      <c r="N988" s="137">
        <v>0</v>
      </c>
      <c r="O988" s="138">
        <v>0</v>
      </c>
      <c r="P988" s="138">
        <v>0</v>
      </c>
      <c r="Q988" s="138">
        <v>0</v>
      </c>
      <c r="R988" s="138">
        <v>0</v>
      </c>
      <c r="S988" s="139">
        <v>0</v>
      </c>
      <c r="T988" s="322">
        <f t="shared" si="237"/>
        <v>0</v>
      </c>
      <c r="U988" s="140" t="str">
        <f t="shared" si="238"/>
        <v/>
      </c>
      <c r="V988" s="322">
        <f t="shared" si="242"/>
        <v>0</v>
      </c>
      <c r="W988" s="140" t="str">
        <f t="shared" si="239"/>
        <v/>
      </c>
      <c r="X988" s="322">
        <f t="shared" si="240"/>
        <v>0</v>
      </c>
      <c r="Y988" s="140" t="str">
        <f t="shared" si="241"/>
        <v/>
      </c>
      <c r="Z988" s="519">
        <v>0</v>
      </c>
      <c r="AA988" s="111">
        <f t="shared" si="243"/>
        <v>0</v>
      </c>
      <c r="AB988" s="111">
        <f t="shared" si="244"/>
        <v>0</v>
      </c>
    </row>
    <row r="989" spans="1:28" ht="27" customHeight="1">
      <c r="A989" s="114" t="s">
        <v>144</v>
      </c>
      <c r="B989" s="125" t="s">
        <v>1516</v>
      </c>
      <c r="C989" s="97" t="s">
        <v>3189</v>
      </c>
      <c r="D989" s="97" t="s">
        <v>3183</v>
      </c>
      <c r="E989" s="540" t="s">
        <v>146</v>
      </c>
      <c r="F989" s="540" t="s">
        <v>145</v>
      </c>
      <c r="G989" s="555" t="s">
        <v>400</v>
      </c>
      <c r="H989" s="555" t="s">
        <v>2993</v>
      </c>
      <c r="I989" s="556" t="s">
        <v>2994</v>
      </c>
      <c r="J989" s="557" t="s">
        <v>3562</v>
      </c>
      <c r="K989" s="558" t="s">
        <v>3563</v>
      </c>
      <c r="L989" s="95"/>
      <c r="M989" s="104"/>
      <c r="N989" s="137">
        <v>5612531.3399999999</v>
      </c>
      <c r="O989" s="138">
        <v>3000000</v>
      </c>
      <c r="P989" s="138">
        <v>3000000</v>
      </c>
      <c r="Q989" s="138">
        <v>3000000</v>
      </c>
      <c r="R989" s="138">
        <v>3000000</v>
      </c>
      <c r="S989" s="138">
        <v>3000000</v>
      </c>
      <c r="T989" s="322">
        <f t="shared" si="237"/>
        <v>-2612531.34</v>
      </c>
      <c r="U989" s="140">
        <f t="shared" si="238"/>
        <v>-0.46548182660125687</v>
      </c>
      <c r="V989" s="322">
        <f t="shared" si="242"/>
        <v>0</v>
      </c>
      <c r="W989" s="140">
        <f t="shared" si="239"/>
        <v>0</v>
      </c>
      <c r="X989" s="322">
        <f t="shared" si="240"/>
        <v>0</v>
      </c>
      <c r="Y989" s="140">
        <f t="shared" si="241"/>
        <v>0</v>
      </c>
      <c r="Z989" s="519">
        <v>2250000</v>
      </c>
      <c r="AA989" s="111">
        <f t="shared" si="243"/>
        <v>3000000</v>
      </c>
      <c r="AB989" s="111">
        <f t="shared" si="244"/>
        <v>0</v>
      </c>
    </row>
    <row r="990" spans="1:28" ht="36" customHeight="1">
      <c r="A990" s="114" t="s">
        <v>2995</v>
      </c>
      <c r="B990" s="125" t="s">
        <v>1516</v>
      </c>
      <c r="C990" s="97" t="s">
        <v>3189</v>
      </c>
      <c r="D990" s="97" t="s">
        <v>2833</v>
      </c>
      <c r="E990" s="559" t="s">
        <v>2996</v>
      </c>
      <c r="F990" s="559" t="s">
        <v>2427</v>
      </c>
      <c r="G990" s="555" t="s">
        <v>396</v>
      </c>
      <c r="H990" s="555" t="s">
        <v>2428</v>
      </c>
      <c r="I990" s="556" t="s">
        <v>2429</v>
      </c>
      <c r="J990" s="557" t="s">
        <v>3562</v>
      </c>
      <c r="K990" s="558" t="s">
        <v>3563</v>
      </c>
      <c r="L990" s="95"/>
      <c r="M990" s="104"/>
      <c r="N990" s="137">
        <v>0</v>
      </c>
      <c r="O990" s="138">
        <v>0</v>
      </c>
      <c r="P990" s="138">
        <v>0</v>
      </c>
      <c r="Q990" s="138">
        <v>0</v>
      </c>
      <c r="R990" s="138">
        <v>0</v>
      </c>
      <c r="S990" s="139">
        <v>0</v>
      </c>
      <c r="T990" s="322">
        <f t="shared" si="237"/>
        <v>0</v>
      </c>
      <c r="U990" s="140" t="str">
        <f t="shared" si="238"/>
        <v/>
      </c>
      <c r="V990" s="322">
        <f t="shared" si="242"/>
        <v>0</v>
      </c>
      <c r="W990" s="140" t="str">
        <f t="shared" si="239"/>
        <v/>
      </c>
      <c r="X990" s="322">
        <f t="shared" si="240"/>
        <v>0</v>
      </c>
      <c r="Y990" s="140" t="str">
        <f t="shared" si="241"/>
        <v/>
      </c>
      <c r="Z990" s="519">
        <v>0</v>
      </c>
      <c r="AA990" s="111">
        <f t="shared" si="243"/>
        <v>0</v>
      </c>
      <c r="AB990" s="111">
        <f t="shared" si="244"/>
        <v>0</v>
      </c>
    </row>
    <row r="991" spans="1:28" ht="36" customHeight="1">
      <c r="A991" s="114" t="s">
        <v>2430</v>
      </c>
      <c r="B991" s="125" t="s">
        <v>1516</v>
      </c>
      <c r="C991" s="97" t="s">
        <v>3189</v>
      </c>
      <c r="D991" s="97" t="s">
        <v>1378</v>
      </c>
      <c r="E991" s="559" t="s">
        <v>2431</v>
      </c>
      <c r="F991" s="559" t="s">
        <v>2432</v>
      </c>
      <c r="G991" s="555" t="s">
        <v>398</v>
      </c>
      <c r="H991" s="555" t="s">
        <v>2433</v>
      </c>
      <c r="I991" s="594" t="s">
        <v>2434</v>
      </c>
      <c r="J991" s="557" t="s">
        <v>3562</v>
      </c>
      <c r="K991" s="558" t="s">
        <v>3563</v>
      </c>
      <c r="L991" s="95"/>
      <c r="M991" s="104"/>
      <c r="N991" s="137">
        <v>0</v>
      </c>
      <c r="O991" s="138">
        <v>0</v>
      </c>
      <c r="P991" s="138">
        <v>0</v>
      </c>
      <c r="Q991" s="138">
        <v>0</v>
      </c>
      <c r="R991" s="138">
        <v>0</v>
      </c>
      <c r="S991" s="139">
        <v>0</v>
      </c>
      <c r="T991" s="322">
        <f t="shared" si="237"/>
        <v>0</v>
      </c>
      <c r="U991" s="140" t="str">
        <f t="shared" si="238"/>
        <v/>
      </c>
      <c r="V991" s="322">
        <f t="shared" si="242"/>
        <v>0</v>
      </c>
      <c r="W991" s="140" t="str">
        <f t="shared" si="239"/>
        <v/>
      </c>
      <c r="X991" s="322">
        <f t="shared" si="240"/>
        <v>0</v>
      </c>
      <c r="Y991" s="140" t="str">
        <f t="shared" si="241"/>
        <v/>
      </c>
      <c r="Z991" s="519">
        <v>0</v>
      </c>
      <c r="AA991" s="111">
        <f t="shared" si="243"/>
        <v>0</v>
      </c>
      <c r="AB991" s="111">
        <f t="shared" si="244"/>
        <v>0</v>
      </c>
    </row>
    <row r="992" spans="1:28" ht="27" customHeight="1">
      <c r="A992" s="114" t="s">
        <v>2435</v>
      </c>
      <c r="B992" s="125" t="s">
        <v>1516</v>
      </c>
      <c r="C992" s="97" t="s">
        <v>3189</v>
      </c>
      <c r="D992" s="97" t="s">
        <v>1379</v>
      </c>
      <c r="E992" s="540" t="s">
        <v>2436</v>
      </c>
      <c r="F992" s="540" t="s">
        <v>2437</v>
      </c>
      <c r="G992" s="511" t="s">
        <v>400</v>
      </c>
      <c r="H992" s="511" t="s">
        <v>2993</v>
      </c>
      <c r="I992" s="544" t="s">
        <v>2994</v>
      </c>
      <c r="J992" s="557" t="s">
        <v>3562</v>
      </c>
      <c r="K992" s="558" t="s">
        <v>3563</v>
      </c>
      <c r="L992" s="95"/>
      <c r="M992" s="104"/>
      <c r="N992" s="137">
        <v>0</v>
      </c>
      <c r="O992" s="138">
        <v>0</v>
      </c>
      <c r="P992" s="138">
        <v>0</v>
      </c>
      <c r="Q992" s="138">
        <v>0</v>
      </c>
      <c r="R992" s="138">
        <v>0</v>
      </c>
      <c r="S992" s="139">
        <v>0</v>
      </c>
      <c r="T992" s="322">
        <f t="shared" si="237"/>
        <v>0</v>
      </c>
      <c r="U992" s="140" t="str">
        <f t="shared" si="238"/>
        <v/>
      </c>
      <c r="V992" s="322">
        <f t="shared" si="242"/>
        <v>0</v>
      </c>
      <c r="W992" s="140" t="str">
        <f t="shared" si="239"/>
        <v/>
      </c>
      <c r="X992" s="322">
        <f t="shared" si="240"/>
        <v>0</v>
      </c>
      <c r="Y992" s="140" t="str">
        <f t="shared" si="241"/>
        <v/>
      </c>
      <c r="Z992" s="519">
        <v>0</v>
      </c>
      <c r="AA992" s="111">
        <f t="shared" si="243"/>
        <v>0</v>
      </c>
      <c r="AB992" s="111">
        <f t="shared" si="244"/>
        <v>0</v>
      </c>
    </row>
    <row r="993" spans="1:28" ht="24.75" customHeight="1">
      <c r="A993" s="510" t="s">
        <v>5184</v>
      </c>
      <c r="B993" s="305" t="s">
        <v>1516</v>
      </c>
      <c r="C993" s="306" t="s">
        <v>3189</v>
      </c>
      <c r="D993" s="306" t="s">
        <v>2138</v>
      </c>
      <c r="E993" s="561" t="s">
        <v>5185</v>
      </c>
      <c r="F993" s="561" t="s">
        <v>5186</v>
      </c>
      <c r="G993" s="548" t="s">
        <v>4735</v>
      </c>
      <c r="H993" s="548" t="s">
        <v>2965</v>
      </c>
      <c r="I993" s="549" t="s">
        <v>5187</v>
      </c>
      <c r="J993" s="550" t="s">
        <v>3562</v>
      </c>
      <c r="K993" s="551" t="s">
        <v>3563</v>
      </c>
      <c r="L993" s="95"/>
      <c r="M993" s="104"/>
      <c r="N993" s="137">
        <v>0</v>
      </c>
      <c r="O993" s="138">
        <v>0</v>
      </c>
      <c r="P993" s="138">
        <v>0</v>
      </c>
      <c r="Q993" s="138">
        <v>0</v>
      </c>
      <c r="R993" s="138">
        <v>0</v>
      </c>
      <c r="S993" s="139">
        <v>0</v>
      </c>
      <c r="T993" s="322">
        <f t="shared" ref="T993" si="245">IF(N993="","",Q993-N993)</f>
        <v>0</v>
      </c>
      <c r="U993" s="140" t="str">
        <f t="shared" ref="U993" si="246">IF(N993=0,"",T993/N993)</f>
        <v/>
      </c>
      <c r="V993" s="322">
        <f t="shared" si="242"/>
        <v>0</v>
      </c>
      <c r="W993" s="140" t="str">
        <f t="shared" ref="W993" si="247">IF(O993=0,"",V993/O993)</f>
        <v/>
      </c>
      <c r="X993" s="322">
        <f t="shared" ref="X993" si="248">IF(P993="","",Q993-P993)</f>
        <v>0</v>
      </c>
      <c r="Y993" s="140" t="str">
        <f t="shared" ref="Y993" si="249">IF(P993=0,"",X993/P993)</f>
        <v/>
      </c>
      <c r="Z993" s="519">
        <v>0</v>
      </c>
      <c r="AA993" s="111">
        <f t="shared" si="243"/>
        <v>0</v>
      </c>
      <c r="AB993" s="111">
        <f t="shared" si="244"/>
        <v>0</v>
      </c>
    </row>
    <row r="994" spans="1:28" ht="27" customHeight="1">
      <c r="A994" s="114" t="s">
        <v>147</v>
      </c>
      <c r="B994" s="125" t="s">
        <v>1516</v>
      </c>
      <c r="C994" s="97" t="s">
        <v>3189</v>
      </c>
      <c r="D994" s="97" t="s">
        <v>3193</v>
      </c>
      <c r="E994" s="540" t="s">
        <v>148</v>
      </c>
      <c r="F994" s="540" t="s">
        <v>5402</v>
      </c>
      <c r="G994" s="555" t="s">
        <v>390</v>
      </c>
      <c r="H994" s="555" t="s">
        <v>2438</v>
      </c>
      <c r="I994" s="556" t="s">
        <v>2439</v>
      </c>
      <c r="J994" s="557" t="s">
        <v>3562</v>
      </c>
      <c r="K994" s="558" t="s">
        <v>3563</v>
      </c>
      <c r="L994" s="95"/>
      <c r="M994" s="104"/>
      <c r="N994" s="137">
        <v>0</v>
      </c>
      <c r="O994" s="138">
        <v>0</v>
      </c>
      <c r="P994" s="138">
        <v>0</v>
      </c>
      <c r="Q994" s="138">
        <v>0</v>
      </c>
      <c r="R994" s="138">
        <v>0</v>
      </c>
      <c r="S994" s="139">
        <v>0</v>
      </c>
      <c r="T994" s="322">
        <f t="shared" si="237"/>
        <v>0</v>
      </c>
      <c r="U994" s="140" t="str">
        <f t="shared" si="238"/>
        <v/>
      </c>
      <c r="V994" s="322">
        <f t="shared" si="242"/>
        <v>0</v>
      </c>
      <c r="W994" s="140" t="str">
        <f t="shared" si="239"/>
        <v/>
      </c>
      <c r="X994" s="322">
        <f t="shared" si="240"/>
        <v>0</v>
      </c>
      <c r="Y994" s="140" t="str">
        <f t="shared" si="241"/>
        <v/>
      </c>
      <c r="Z994" s="519">
        <v>0</v>
      </c>
      <c r="AA994" s="111">
        <f t="shared" si="243"/>
        <v>0</v>
      </c>
      <c r="AB994" s="111">
        <f t="shared" si="244"/>
        <v>0</v>
      </c>
    </row>
    <row r="995" spans="1:28" ht="27" customHeight="1">
      <c r="A995" s="113" t="s">
        <v>149</v>
      </c>
      <c r="B995" s="135" t="s">
        <v>2104</v>
      </c>
      <c r="C995" s="136" t="s">
        <v>3184</v>
      </c>
      <c r="D995" s="136" t="s">
        <v>3185</v>
      </c>
      <c r="E995" s="529" t="s">
        <v>151</v>
      </c>
      <c r="F995" s="529" t="s">
        <v>150</v>
      </c>
      <c r="G995" s="530"/>
      <c r="H995" s="530"/>
      <c r="I995" s="531"/>
      <c r="J995" s="532"/>
      <c r="K995" s="533"/>
      <c r="L995" s="95"/>
      <c r="M995" s="147"/>
      <c r="N995" s="137">
        <v>0</v>
      </c>
      <c r="O995" s="138">
        <v>0</v>
      </c>
      <c r="P995" s="138">
        <v>0</v>
      </c>
      <c r="Q995" s="138">
        <v>0</v>
      </c>
      <c r="R995" s="138">
        <v>0</v>
      </c>
      <c r="S995" s="139">
        <v>0</v>
      </c>
      <c r="T995" s="322">
        <f t="shared" si="237"/>
        <v>0</v>
      </c>
      <c r="U995" s="140" t="str">
        <f t="shared" si="238"/>
        <v/>
      </c>
      <c r="V995" s="322">
        <f t="shared" si="242"/>
        <v>0</v>
      </c>
      <c r="W995" s="140" t="str">
        <f t="shared" si="239"/>
        <v/>
      </c>
      <c r="X995" s="322">
        <f t="shared" si="240"/>
        <v>0</v>
      </c>
      <c r="Y995" s="140" t="str">
        <f t="shared" si="241"/>
        <v/>
      </c>
      <c r="Z995" s="519">
        <v>0</v>
      </c>
      <c r="AA995" s="111">
        <f t="shared" si="243"/>
        <v>0</v>
      </c>
      <c r="AB995" s="111">
        <f t="shared" si="244"/>
        <v>0</v>
      </c>
    </row>
    <row r="996" spans="1:28" ht="21">
      <c r="A996" s="115" t="s">
        <v>152</v>
      </c>
      <c r="B996" s="124" t="s">
        <v>2104</v>
      </c>
      <c r="C996" s="101" t="s">
        <v>3186</v>
      </c>
      <c r="D996" s="101" t="s">
        <v>3185</v>
      </c>
      <c r="E996" s="534" t="s">
        <v>2440</v>
      </c>
      <c r="F996" s="534" t="s">
        <v>153</v>
      </c>
      <c r="G996" s="555"/>
      <c r="H996" s="555"/>
      <c r="I996" s="556"/>
      <c r="J996" s="557"/>
      <c r="K996" s="558"/>
      <c r="L996" s="95"/>
      <c r="M996" s="104"/>
      <c r="N996" s="137">
        <v>0</v>
      </c>
      <c r="O996" s="138">
        <v>0</v>
      </c>
      <c r="P996" s="138">
        <v>0</v>
      </c>
      <c r="Q996" s="138">
        <v>0</v>
      </c>
      <c r="R996" s="138">
        <v>0</v>
      </c>
      <c r="S996" s="139">
        <v>0</v>
      </c>
      <c r="T996" s="322">
        <f t="shared" si="237"/>
        <v>0</v>
      </c>
      <c r="U996" s="140" t="str">
        <f t="shared" si="238"/>
        <v/>
      </c>
      <c r="V996" s="322">
        <f t="shared" si="242"/>
        <v>0</v>
      </c>
      <c r="W996" s="140" t="str">
        <f t="shared" si="239"/>
        <v/>
      </c>
      <c r="X996" s="322">
        <f t="shared" si="240"/>
        <v>0</v>
      </c>
      <c r="Y996" s="140" t="str">
        <f t="shared" si="241"/>
        <v/>
      </c>
      <c r="Z996" s="519">
        <v>0</v>
      </c>
      <c r="AA996" s="111">
        <f t="shared" si="243"/>
        <v>0</v>
      </c>
      <c r="AB996" s="111">
        <f t="shared" si="244"/>
        <v>0</v>
      </c>
    </row>
    <row r="997" spans="1:28" ht="27" customHeight="1">
      <c r="A997" s="114" t="s">
        <v>154</v>
      </c>
      <c r="B997" s="125" t="s">
        <v>2104</v>
      </c>
      <c r="C997" s="97" t="s">
        <v>3186</v>
      </c>
      <c r="D997" s="97" t="s">
        <v>3193</v>
      </c>
      <c r="E997" s="540" t="s">
        <v>5596</v>
      </c>
      <c r="F997" s="540" t="s">
        <v>5403</v>
      </c>
      <c r="G997" s="555" t="s">
        <v>388</v>
      </c>
      <c r="H997" s="555" t="s">
        <v>2441</v>
      </c>
      <c r="I997" s="556" t="s">
        <v>2442</v>
      </c>
      <c r="J997" s="557" t="s">
        <v>3562</v>
      </c>
      <c r="K997" s="558" t="s">
        <v>3563</v>
      </c>
      <c r="L997" s="95"/>
      <c r="M997" s="104"/>
      <c r="N997" s="137">
        <v>0</v>
      </c>
      <c r="O997" s="138">
        <v>0</v>
      </c>
      <c r="P997" s="138">
        <v>0</v>
      </c>
      <c r="Q997" s="138">
        <v>0</v>
      </c>
      <c r="R997" s="138">
        <v>0</v>
      </c>
      <c r="S997" s="139">
        <v>0</v>
      </c>
      <c r="T997" s="322">
        <f t="shared" si="237"/>
        <v>0</v>
      </c>
      <c r="U997" s="140" t="str">
        <f t="shared" si="238"/>
        <v/>
      </c>
      <c r="V997" s="322">
        <f t="shared" si="242"/>
        <v>0</v>
      </c>
      <c r="W997" s="140" t="str">
        <f t="shared" si="239"/>
        <v/>
      </c>
      <c r="X997" s="322">
        <f t="shared" si="240"/>
        <v>0</v>
      </c>
      <c r="Y997" s="140" t="str">
        <f t="shared" si="241"/>
        <v/>
      </c>
      <c r="Z997" s="519">
        <v>0</v>
      </c>
      <c r="AA997" s="111">
        <f t="shared" si="243"/>
        <v>0</v>
      </c>
      <c r="AB997" s="111">
        <f t="shared" si="244"/>
        <v>0</v>
      </c>
    </row>
    <row r="998" spans="1:28" ht="27" customHeight="1">
      <c r="A998" s="114" t="s">
        <v>155</v>
      </c>
      <c r="B998" s="125" t="s">
        <v>2104</v>
      </c>
      <c r="C998" s="97" t="s">
        <v>3186</v>
      </c>
      <c r="D998" s="97" t="s">
        <v>2137</v>
      </c>
      <c r="E998" s="540" t="s">
        <v>2443</v>
      </c>
      <c r="F998" s="540" t="s">
        <v>156</v>
      </c>
      <c r="G998" s="555" t="s">
        <v>402</v>
      </c>
      <c r="H998" s="512" t="s">
        <v>5183</v>
      </c>
      <c r="I998" s="556" t="s">
        <v>2966</v>
      </c>
      <c r="J998" s="557" t="s">
        <v>3562</v>
      </c>
      <c r="K998" s="558" t="s">
        <v>3563</v>
      </c>
      <c r="L998" s="95"/>
      <c r="M998" s="104"/>
      <c r="N998" s="137">
        <v>0</v>
      </c>
      <c r="O998" s="138">
        <v>0</v>
      </c>
      <c r="P998" s="138">
        <v>0</v>
      </c>
      <c r="Q998" s="138">
        <v>0</v>
      </c>
      <c r="R998" s="138">
        <v>0</v>
      </c>
      <c r="S998" s="139">
        <v>0</v>
      </c>
      <c r="T998" s="322">
        <f t="shared" si="237"/>
        <v>0</v>
      </c>
      <c r="U998" s="140" t="str">
        <f t="shared" si="238"/>
        <v/>
      </c>
      <c r="V998" s="322">
        <f t="shared" si="242"/>
        <v>0</v>
      </c>
      <c r="W998" s="140" t="str">
        <f t="shared" si="239"/>
        <v/>
      </c>
      <c r="X998" s="322">
        <f t="shared" si="240"/>
        <v>0</v>
      </c>
      <c r="Y998" s="140" t="str">
        <f t="shared" si="241"/>
        <v/>
      </c>
      <c r="Z998" s="519">
        <v>0</v>
      </c>
      <c r="AA998" s="111">
        <f t="shared" si="243"/>
        <v>0</v>
      </c>
      <c r="AB998" s="111">
        <f t="shared" si="244"/>
        <v>0</v>
      </c>
    </row>
    <row r="999" spans="1:28" ht="36" customHeight="1">
      <c r="A999" s="115" t="s">
        <v>157</v>
      </c>
      <c r="B999" s="124" t="s">
        <v>2104</v>
      </c>
      <c r="C999" s="101" t="s">
        <v>3187</v>
      </c>
      <c r="D999" s="101" t="s">
        <v>3185</v>
      </c>
      <c r="E999" s="554" t="s">
        <v>159</v>
      </c>
      <c r="F999" s="534" t="s">
        <v>158</v>
      </c>
      <c r="G999" s="555"/>
      <c r="H999" s="555"/>
      <c r="I999" s="556"/>
      <c r="J999" s="557"/>
      <c r="K999" s="558"/>
      <c r="L999" s="95"/>
      <c r="M999" s="104"/>
      <c r="N999" s="137">
        <v>0</v>
      </c>
      <c r="O999" s="138">
        <v>0</v>
      </c>
      <c r="P999" s="138">
        <v>0</v>
      </c>
      <c r="Q999" s="138">
        <v>0</v>
      </c>
      <c r="R999" s="138">
        <v>0</v>
      </c>
      <c r="S999" s="139">
        <v>0</v>
      </c>
      <c r="T999" s="322">
        <f t="shared" si="237"/>
        <v>0</v>
      </c>
      <c r="U999" s="140" t="str">
        <f t="shared" si="238"/>
        <v/>
      </c>
      <c r="V999" s="322">
        <f t="shared" si="242"/>
        <v>0</v>
      </c>
      <c r="W999" s="140" t="str">
        <f t="shared" si="239"/>
        <v/>
      </c>
      <c r="X999" s="322">
        <f t="shared" si="240"/>
        <v>0</v>
      </c>
      <c r="Y999" s="140" t="str">
        <f t="shared" si="241"/>
        <v/>
      </c>
      <c r="Z999" s="519">
        <v>0</v>
      </c>
      <c r="AA999" s="111">
        <f t="shared" si="243"/>
        <v>0</v>
      </c>
      <c r="AB999" s="111">
        <f t="shared" si="244"/>
        <v>0</v>
      </c>
    </row>
    <row r="1000" spans="1:28" ht="27" customHeight="1">
      <c r="A1000" s="114" t="s">
        <v>160</v>
      </c>
      <c r="B1000" s="125" t="s">
        <v>2104</v>
      </c>
      <c r="C1000" s="97" t="s">
        <v>3187</v>
      </c>
      <c r="D1000" s="97" t="s">
        <v>3183</v>
      </c>
      <c r="E1000" s="559" t="s">
        <v>159</v>
      </c>
      <c r="F1000" s="540" t="s">
        <v>158</v>
      </c>
      <c r="G1000" s="555" t="s">
        <v>350</v>
      </c>
      <c r="H1000" s="555" t="s">
        <v>1514</v>
      </c>
      <c r="I1000" s="556" t="s">
        <v>2800</v>
      </c>
      <c r="J1000" s="557" t="s">
        <v>2801</v>
      </c>
      <c r="K1000" s="558" t="s">
        <v>3561</v>
      </c>
      <c r="L1000" s="95"/>
      <c r="M1000" s="104"/>
      <c r="N1000" s="137">
        <v>279896.36</v>
      </c>
      <c r="O1000" s="138">
        <v>275000</v>
      </c>
      <c r="P1000" s="138">
        <v>275000</v>
      </c>
      <c r="Q1000" s="138">
        <v>275000</v>
      </c>
      <c r="R1000" s="138">
        <v>275000</v>
      </c>
      <c r="S1000" s="139">
        <v>275000</v>
      </c>
      <c r="T1000" s="322">
        <f t="shared" si="237"/>
        <v>-4896.359999999986</v>
      </c>
      <c r="U1000" s="140">
        <f t="shared" si="238"/>
        <v>-1.7493475084849216E-2</v>
      </c>
      <c r="V1000" s="322">
        <f t="shared" si="242"/>
        <v>0</v>
      </c>
      <c r="W1000" s="140">
        <f t="shared" si="239"/>
        <v>0</v>
      </c>
      <c r="X1000" s="322">
        <f t="shared" si="240"/>
        <v>0</v>
      </c>
      <c r="Y1000" s="140">
        <f t="shared" si="241"/>
        <v>0</v>
      </c>
      <c r="Z1000" s="519">
        <v>206250</v>
      </c>
      <c r="AA1000" s="111">
        <f t="shared" si="243"/>
        <v>275000</v>
      </c>
      <c r="AB1000" s="111">
        <f t="shared" si="244"/>
        <v>0</v>
      </c>
    </row>
    <row r="1001" spans="1:28" ht="24.75" customHeight="1">
      <c r="A1001" s="115" t="s">
        <v>161</v>
      </c>
      <c r="B1001" s="124" t="s">
        <v>2104</v>
      </c>
      <c r="C1001" s="101" t="s">
        <v>3189</v>
      </c>
      <c r="D1001" s="101" t="s">
        <v>3185</v>
      </c>
      <c r="E1001" s="554" t="s">
        <v>162</v>
      </c>
      <c r="F1001" s="534" t="s">
        <v>5404</v>
      </c>
      <c r="G1001" s="555"/>
      <c r="H1001" s="555"/>
      <c r="I1001" s="556"/>
      <c r="J1001" s="557"/>
      <c r="K1001" s="558"/>
      <c r="L1001" s="95"/>
      <c r="M1001" s="104"/>
      <c r="N1001" s="137">
        <v>0</v>
      </c>
      <c r="O1001" s="138">
        <v>0</v>
      </c>
      <c r="P1001" s="138">
        <v>0</v>
      </c>
      <c r="Q1001" s="138">
        <v>0</v>
      </c>
      <c r="R1001" s="138">
        <v>0</v>
      </c>
      <c r="S1001" s="139">
        <v>0</v>
      </c>
      <c r="T1001" s="322">
        <f t="shared" si="237"/>
        <v>0</v>
      </c>
      <c r="U1001" s="140" t="str">
        <f t="shared" si="238"/>
        <v/>
      </c>
      <c r="V1001" s="322">
        <f t="shared" si="242"/>
        <v>0</v>
      </c>
      <c r="W1001" s="140" t="str">
        <f t="shared" si="239"/>
        <v/>
      </c>
      <c r="X1001" s="322">
        <f t="shared" si="240"/>
        <v>0</v>
      </c>
      <c r="Y1001" s="140" t="str">
        <f t="shared" si="241"/>
        <v/>
      </c>
      <c r="Z1001" s="519">
        <v>0</v>
      </c>
      <c r="AA1001" s="111">
        <f t="shared" si="243"/>
        <v>0</v>
      </c>
      <c r="AB1001" s="111">
        <f t="shared" si="244"/>
        <v>0</v>
      </c>
    </row>
    <row r="1002" spans="1:28" ht="15.75" customHeight="1">
      <c r="A1002" s="114" t="s">
        <v>163</v>
      </c>
      <c r="B1002" s="125" t="s">
        <v>2104</v>
      </c>
      <c r="C1002" s="97" t="s">
        <v>3189</v>
      </c>
      <c r="D1002" s="97" t="s">
        <v>3183</v>
      </c>
      <c r="E1002" s="559" t="s">
        <v>162</v>
      </c>
      <c r="F1002" s="540" t="s">
        <v>5404</v>
      </c>
      <c r="G1002" s="555" t="s">
        <v>350</v>
      </c>
      <c r="H1002" s="555" t="s">
        <v>1514</v>
      </c>
      <c r="I1002" s="556" t="s">
        <v>2800</v>
      </c>
      <c r="J1002" s="557" t="s">
        <v>2801</v>
      </c>
      <c r="K1002" s="558" t="s">
        <v>3561</v>
      </c>
      <c r="L1002" s="95"/>
      <c r="M1002" s="104"/>
      <c r="N1002" s="137">
        <v>1428589.98</v>
      </c>
      <c r="O1002" s="138">
        <v>2000000</v>
      </c>
      <c r="P1002" s="138">
        <v>1200000</v>
      </c>
      <c r="Q1002" s="138">
        <v>1200000</v>
      </c>
      <c r="R1002" s="138">
        <v>1200000</v>
      </c>
      <c r="S1002" s="139">
        <v>1200000</v>
      </c>
      <c r="T1002" s="322">
        <f t="shared" si="237"/>
        <v>-228589.97999999998</v>
      </c>
      <c r="U1002" s="140">
        <f t="shared" si="238"/>
        <v>-0.16001090809834742</v>
      </c>
      <c r="V1002" s="322">
        <f t="shared" si="242"/>
        <v>-800000</v>
      </c>
      <c r="W1002" s="140">
        <f t="shared" si="239"/>
        <v>-0.4</v>
      </c>
      <c r="X1002" s="322">
        <f t="shared" si="240"/>
        <v>0</v>
      </c>
      <c r="Y1002" s="140">
        <f t="shared" si="241"/>
        <v>0</v>
      </c>
      <c r="Z1002" s="519">
        <v>900000</v>
      </c>
      <c r="AA1002" s="111">
        <f t="shared" si="243"/>
        <v>1200000</v>
      </c>
      <c r="AB1002" s="111">
        <f t="shared" si="244"/>
        <v>0</v>
      </c>
    </row>
    <row r="1003" spans="1:28" ht="15.75" customHeight="1">
      <c r="A1003" s="115" t="s">
        <v>164</v>
      </c>
      <c r="B1003" s="124" t="s">
        <v>2104</v>
      </c>
      <c r="C1003" s="101" t="s">
        <v>3190</v>
      </c>
      <c r="D1003" s="101" t="s">
        <v>3185</v>
      </c>
      <c r="E1003" s="554" t="s">
        <v>166</v>
      </c>
      <c r="F1003" s="534" t="s">
        <v>165</v>
      </c>
      <c r="G1003" s="555"/>
      <c r="H1003" s="555"/>
      <c r="I1003" s="556"/>
      <c r="J1003" s="557"/>
      <c r="K1003" s="558"/>
      <c r="L1003" s="95"/>
      <c r="M1003" s="104"/>
      <c r="N1003" s="137">
        <v>0</v>
      </c>
      <c r="O1003" s="138">
        <v>0</v>
      </c>
      <c r="P1003" s="138">
        <v>0</v>
      </c>
      <c r="Q1003" s="138">
        <v>0</v>
      </c>
      <c r="R1003" s="138">
        <v>0</v>
      </c>
      <c r="S1003" s="139">
        <v>0</v>
      </c>
      <c r="T1003" s="322">
        <f t="shared" si="237"/>
        <v>0</v>
      </c>
      <c r="U1003" s="140" t="str">
        <f t="shared" si="238"/>
        <v/>
      </c>
      <c r="V1003" s="322">
        <f t="shared" si="242"/>
        <v>0</v>
      </c>
      <c r="W1003" s="140" t="str">
        <f t="shared" si="239"/>
        <v/>
      </c>
      <c r="X1003" s="322">
        <f t="shared" si="240"/>
        <v>0</v>
      </c>
      <c r="Y1003" s="140" t="str">
        <f t="shared" si="241"/>
        <v/>
      </c>
      <c r="Z1003" s="519">
        <v>0</v>
      </c>
      <c r="AA1003" s="111">
        <f t="shared" si="243"/>
        <v>0</v>
      </c>
      <c r="AB1003" s="111">
        <f t="shared" si="244"/>
        <v>0</v>
      </c>
    </row>
    <row r="1004" spans="1:28" ht="15.75" customHeight="1">
      <c r="A1004" s="114" t="s">
        <v>167</v>
      </c>
      <c r="B1004" s="125" t="s">
        <v>2104</v>
      </c>
      <c r="C1004" s="97" t="s">
        <v>3190</v>
      </c>
      <c r="D1004" s="97" t="s">
        <v>3183</v>
      </c>
      <c r="E1004" s="559" t="s">
        <v>4429</v>
      </c>
      <c r="F1004" s="540" t="s">
        <v>4430</v>
      </c>
      <c r="G1004" s="555" t="s">
        <v>350</v>
      </c>
      <c r="H1004" s="555" t="s">
        <v>1514</v>
      </c>
      <c r="I1004" s="556" t="s">
        <v>2800</v>
      </c>
      <c r="J1004" s="557" t="s">
        <v>2801</v>
      </c>
      <c r="K1004" s="558" t="s">
        <v>3561</v>
      </c>
      <c r="L1004" s="95"/>
      <c r="M1004" s="104"/>
      <c r="N1004" s="137">
        <v>57733.32</v>
      </c>
      <c r="O1004" s="138">
        <v>60000</v>
      </c>
      <c r="P1004" s="138">
        <v>65000</v>
      </c>
      <c r="Q1004" s="138">
        <v>65000</v>
      </c>
      <c r="R1004" s="138">
        <v>65000</v>
      </c>
      <c r="S1004" s="139">
        <v>65000</v>
      </c>
      <c r="T1004" s="322">
        <f t="shared" si="237"/>
        <v>7266.68</v>
      </c>
      <c r="U1004" s="140">
        <f t="shared" si="238"/>
        <v>0.12586631082362837</v>
      </c>
      <c r="V1004" s="322">
        <f t="shared" si="242"/>
        <v>5000</v>
      </c>
      <c r="W1004" s="140">
        <f t="shared" si="239"/>
        <v>8.3333333333333329E-2</v>
      </c>
      <c r="X1004" s="322">
        <f t="shared" si="240"/>
        <v>0</v>
      </c>
      <c r="Y1004" s="140">
        <f t="shared" si="241"/>
        <v>0</v>
      </c>
      <c r="Z1004" s="519">
        <v>48750</v>
      </c>
      <c r="AA1004" s="111">
        <f t="shared" si="243"/>
        <v>65000</v>
      </c>
      <c r="AB1004" s="111">
        <f t="shared" si="244"/>
        <v>0</v>
      </c>
    </row>
    <row r="1005" spans="1:28" ht="27" customHeight="1">
      <c r="A1005" s="115" t="s">
        <v>168</v>
      </c>
      <c r="B1005" s="124" t="s">
        <v>2104</v>
      </c>
      <c r="C1005" s="101" t="s">
        <v>2139</v>
      </c>
      <c r="D1005" s="101" t="s">
        <v>3185</v>
      </c>
      <c r="E1005" s="554" t="s">
        <v>169</v>
      </c>
      <c r="F1005" s="534" t="s">
        <v>150</v>
      </c>
      <c r="G1005" s="555"/>
      <c r="H1005" s="555"/>
      <c r="I1005" s="556"/>
      <c r="J1005" s="557"/>
      <c r="K1005" s="558"/>
      <c r="L1005" s="95"/>
      <c r="M1005" s="104"/>
      <c r="N1005" s="137">
        <v>0</v>
      </c>
      <c r="O1005" s="138">
        <v>0</v>
      </c>
      <c r="P1005" s="138">
        <v>0</v>
      </c>
      <c r="Q1005" s="138">
        <v>0</v>
      </c>
      <c r="R1005" s="138">
        <v>0</v>
      </c>
      <c r="S1005" s="139">
        <v>0</v>
      </c>
      <c r="T1005" s="322">
        <f t="shared" si="237"/>
        <v>0</v>
      </c>
      <c r="U1005" s="140" t="str">
        <f t="shared" si="238"/>
        <v/>
      </c>
      <c r="V1005" s="322">
        <f t="shared" si="242"/>
        <v>0</v>
      </c>
      <c r="W1005" s="140" t="str">
        <f t="shared" si="239"/>
        <v/>
      </c>
      <c r="X1005" s="322">
        <f t="shared" si="240"/>
        <v>0</v>
      </c>
      <c r="Y1005" s="140" t="str">
        <f t="shared" si="241"/>
        <v/>
      </c>
      <c r="Z1005" s="519">
        <v>0</v>
      </c>
      <c r="AA1005" s="111">
        <f t="shared" si="243"/>
        <v>0</v>
      </c>
      <c r="AB1005" s="111">
        <f t="shared" si="244"/>
        <v>0</v>
      </c>
    </row>
    <row r="1006" spans="1:28" ht="15.75" customHeight="1">
      <c r="A1006" s="114" t="s">
        <v>170</v>
      </c>
      <c r="B1006" s="125" t="s">
        <v>2104</v>
      </c>
      <c r="C1006" s="97" t="s">
        <v>2139</v>
      </c>
      <c r="D1006" s="97" t="s">
        <v>3183</v>
      </c>
      <c r="E1006" s="559" t="s">
        <v>169</v>
      </c>
      <c r="F1006" s="540" t="s">
        <v>150</v>
      </c>
      <c r="G1006" s="555" t="s">
        <v>350</v>
      </c>
      <c r="H1006" s="555" t="s">
        <v>1514</v>
      </c>
      <c r="I1006" s="556" t="s">
        <v>2800</v>
      </c>
      <c r="J1006" s="557" t="s">
        <v>2801</v>
      </c>
      <c r="K1006" s="558" t="s">
        <v>3561</v>
      </c>
      <c r="L1006" s="95"/>
      <c r="M1006" s="104"/>
      <c r="N1006" s="137">
        <v>170029.75</v>
      </c>
      <c r="O1006" s="138">
        <v>195000</v>
      </c>
      <c r="P1006" s="138">
        <v>170000</v>
      </c>
      <c r="Q1006" s="138">
        <v>170000</v>
      </c>
      <c r="R1006" s="138">
        <v>170000</v>
      </c>
      <c r="S1006" s="139">
        <v>170000</v>
      </c>
      <c r="T1006" s="322">
        <f t="shared" si="237"/>
        <v>-29.75</v>
      </c>
      <c r="U1006" s="140">
        <f t="shared" si="238"/>
        <v>-1.7496938035843726E-4</v>
      </c>
      <c r="V1006" s="322">
        <f t="shared" si="242"/>
        <v>-25000</v>
      </c>
      <c r="W1006" s="140">
        <f t="shared" si="239"/>
        <v>-0.12820512820512819</v>
      </c>
      <c r="X1006" s="322">
        <f t="shared" si="240"/>
        <v>0</v>
      </c>
      <c r="Y1006" s="140">
        <f t="shared" si="241"/>
        <v>0</v>
      </c>
      <c r="Z1006" s="519">
        <v>127500</v>
      </c>
      <c r="AA1006" s="111">
        <f t="shared" si="243"/>
        <v>170000</v>
      </c>
      <c r="AB1006" s="111">
        <f t="shared" si="244"/>
        <v>0</v>
      </c>
    </row>
    <row r="1007" spans="1:28" ht="27" customHeight="1">
      <c r="A1007" s="113" t="s">
        <v>171</v>
      </c>
      <c r="B1007" s="135" t="s">
        <v>172</v>
      </c>
      <c r="C1007" s="136" t="s">
        <v>3184</v>
      </c>
      <c r="D1007" s="136" t="s">
        <v>3185</v>
      </c>
      <c r="E1007" s="529" t="s">
        <v>174</v>
      </c>
      <c r="F1007" s="529" t="s">
        <v>173</v>
      </c>
      <c r="G1007" s="530"/>
      <c r="H1007" s="530"/>
      <c r="I1007" s="531"/>
      <c r="J1007" s="532"/>
      <c r="K1007" s="533"/>
      <c r="L1007" s="95"/>
      <c r="M1007" s="147"/>
      <c r="N1007" s="137">
        <v>0</v>
      </c>
      <c r="O1007" s="138">
        <v>0</v>
      </c>
      <c r="P1007" s="138">
        <v>0</v>
      </c>
      <c r="Q1007" s="138">
        <v>0</v>
      </c>
      <c r="R1007" s="138">
        <v>0</v>
      </c>
      <c r="S1007" s="139">
        <v>0</v>
      </c>
      <c r="T1007" s="322">
        <f t="shared" si="237"/>
        <v>0</v>
      </c>
      <c r="U1007" s="140" t="str">
        <f t="shared" si="238"/>
        <v/>
      </c>
      <c r="V1007" s="322">
        <f t="shared" si="242"/>
        <v>0</v>
      </c>
      <c r="W1007" s="140" t="str">
        <f t="shared" si="239"/>
        <v/>
      </c>
      <c r="X1007" s="322">
        <f t="shared" si="240"/>
        <v>0</v>
      </c>
      <c r="Y1007" s="140" t="str">
        <f t="shared" si="241"/>
        <v/>
      </c>
      <c r="Z1007" s="519">
        <v>0</v>
      </c>
      <c r="AA1007" s="111">
        <f t="shared" si="243"/>
        <v>0</v>
      </c>
      <c r="AB1007" s="111">
        <f t="shared" si="244"/>
        <v>0</v>
      </c>
    </row>
    <row r="1008" spans="1:28" ht="15.75" customHeight="1">
      <c r="A1008" s="115" t="s">
        <v>175</v>
      </c>
      <c r="B1008" s="124" t="s">
        <v>172</v>
      </c>
      <c r="C1008" s="101" t="s">
        <v>3186</v>
      </c>
      <c r="D1008" s="101" t="s">
        <v>3185</v>
      </c>
      <c r="E1008" s="554" t="s">
        <v>176</v>
      </c>
      <c r="F1008" s="534" t="s">
        <v>5405</v>
      </c>
      <c r="G1008" s="555"/>
      <c r="H1008" s="555"/>
      <c r="I1008" s="556"/>
      <c r="J1008" s="557"/>
      <c r="K1008" s="558"/>
      <c r="L1008" s="95"/>
      <c r="M1008" s="104"/>
      <c r="N1008" s="137">
        <v>0</v>
      </c>
      <c r="O1008" s="138">
        <v>0</v>
      </c>
      <c r="P1008" s="138">
        <v>0</v>
      </c>
      <c r="Q1008" s="138">
        <v>0</v>
      </c>
      <c r="R1008" s="138">
        <v>0</v>
      </c>
      <c r="S1008" s="139">
        <v>0</v>
      </c>
      <c r="T1008" s="322">
        <f t="shared" si="237"/>
        <v>0</v>
      </c>
      <c r="U1008" s="140" t="str">
        <f t="shared" si="238"/>
        <v/>
      </c>
      <c r="V1008" s="322">
        <f t="shared" si="242"/>
        <v>0</v>
      </c>
      <c r="W1008" s="140" t="str">
        <f t="shared" si="239"/>
        <v/>
      </c>
      <c r="X1008" s="322">
        <f t="shared" si="240"/>
        <v>0</v>
      </c>
      <c r="Y1008" s="140" t="str">
        <f t="shared" si="241"/>
        <v/>
      </c>
      <c r="Z1008" s="519">
        <v>0</v>
      </c>
      <c r="AA1008" s="111">
        <f t="shared" si="243"/>
        <v>0</v>
      </c>
      <c r="AB1008" s="111">
        <f t="shared" si="244"/>
        <v>0</v>
      </c>
    </row>
    <row r="1009" spans="1:28" ht="15.75" customHeight="1">
      <c r="A1009" s="114" t="s">
        <v>177</v>
      </c>
      <c r="B1009" s="125" t="s">
        <v>172</v>
      </c>
      <c r="C1009" s="97" t="s">
        <v>3186</v>
      </c>
      <c r="D1009" s="97" t="s">
        <v>3183</v>
      </c>
      <c r="E1009" s="559" t="s">
        <v>176</v>
      </c>
      <c r="F1009" s="540" t="s">
        <v>5405</v>
      </c>
      <c r="G1009" s="555" t="s">
        <v>865</v>
      </c>
      <c r="H1009" s="555" t="s">
        <v>2444</v>
      </c>
      <c r="I1009" s="556" t="s">
        <v>2445</v>
      </c>
      <c r="J1009" s="557" t="s">
        <v>740</v>
      </c>
      <c r="K1009" s="558" t="s">
        <v>745</v>
      </c>
      <c r="L1009" s="95"/>
      <c r="M1009" s="104"/>
      <c r="N1009" s="137">
        <v>16047.55</v>
      </c>
      <c r="O1009" s="138">
        <v>16000</v>
      </c>
      <c r="P1009" s="138">
        <v>10000</v>
      </c>
      <c r="Q1009" s="138">
        <v>10000</v>
      </c>
      <c r="R1009" s="138">
        <v>10000</v>
      </c>
      <c r="S1009" s="139">
        <v>10000</v>
      </c>
      <c r="T1009" s="322">
        <f t="shared" si="237"/>
        <v>-6047.5499999999993</v>
      </c>
      <c r="U1009" s="140">
        <f t="shared" si="238"/>
        <v>-0.37685191820558278</v>
      </c>
      <c r="V1009" s="322">
        <f t="shared" si="242"/>
        <v>-6000</v>
      </c>
      <c r="W1009" s="140">
        <f t="shared" si="239"/>
        <v>-0.375</v>
      </c>
      <c r="X1009" s="322">
        <f t="shared" si="240"/>
        <v>0</v>
      </c>
      <c r="Y1009" s="140">
        <f t="shared" si="241"/>
        <v>0</v>
      </c>
      <c r="Z1009" s="519">
        <v>12182.3</v>
      </c>
      <c r="AA1009" s="111">
        <f t="shared" si="243"/>
        <v>16243.066666666666</v>
      </c>
      <c r="AB1009" s="111">
        <f t="shared" si="244"/>
        <v>-6243.0666666666657</v>
      </c>
    </row>
    <row r="1010" spans="1:28" ht="15.75" customHeight="1">
      <c r="A1010" s="115" t="s">
        <v>178</v>
      </c>
      <c r="B1010" s="124" t="s">
        <v>172</v>
      </c>
      <c r="C1010" s="101" t="s">
        <v>3189</v>
      </c>
      <c r="D1010" s="101" t="s">
        <v>3185</v>
      </c>
      <c r="E1010" s="554" t="s">
        <v>180</v>
      </c>
      <c r="F1010" s="534" t="s">
        <v>179</v>
      </c>
      <c r="G1010" s="555"/>
      <c r="H1010" s="555"/>
      <c r="I1010" s="556"/>
      <c r="J1010" s="557"/>
      <c r="K1010" s="558"/>
      <c r="L1010" s="95"/>
      <c r="M1010" s="104"/>
      <c r="N1010" s="137">
        <v>0</v>
      </c>
      <c r="O1010" s="138">
        <v>0</v>
      </c>
      <c r="P1010" s="138">
        <v>0</v>
      </c>
      <c r="Q1010" s="138">
        <v>0</v>
      </c>
      <c r="R1010" s="138">
        <v>0</v>
      </c>
      <c r="S1010" s="139">
        <v>0</v>
      </c>
      <c r="T1010" s="322">
        <f t="shared" si="237"/>
        <v>0</v>
      </c>
      <c r="U1010" s="140" t="str">
        <f t="shared" si="238"/>
        <v/>
      </c>
      <c r="V1010" s="322">
        <f t="shared" si="242"/>
        <v>0</v>
      </c>
      <c r="W1010" s="140" t="str">
        <f t="shared" si="239"/>
        <v/>
      </c>
      <c r="X1010" s="322">
        <f t="shared" si="240"/>
        <v>0</v>
      </c>
      <c r="Y1010" s="140" t="str">
        <f t="shared" si="241"/>
        <v/>
      </c>
      <c r="Z1010" s="519">
        <v>0</v>
      </c>
      <c r="AA1010" s="111">
        <f t="shared" si="243"/>
        <v>0</v>
      </c>
      <c r="AB1010" s="111">
        <f t="shared" si="244"/>
        <v>0</v>
      </c>
    </row>
    <row r="1011" spans="1:28" ht="15.75" customHeight="1">
      <c r="A1011" s="114" t="s">
        <v>692</v>
      </c>
      <c r="B1011" s="125" t="s">
        <v>172</v>
      </c>
      <c r="C1011" s="97" t="s">
        <v>3189</v>
      </c>
      <c r="D1011" s="97" t="s">
        <v>3183</v>
      </c>
      <c r="E1011" s="559" t="s">
        <v>180</v>
      </c>
      <c r="F1011" s="540" t="s">
        <v>179</v>
      </c>
      <c r="G1011" s="555" t="s">
        <v>231</v>
      </c>
      <c r="H1011" s="555" t="s">
        <v>3620</v>
      </c>
      <c r="I1011" s="556" t="s">
        <v>1497</v>
      </c>
      <c r="J1011" s="557" t="s">
        <v>3572</v>
      </c>
      <c r="K1011" s="558" t="s">
        <v>3574</v>
      </c>
      <c r="L1011" s="95"/>
      <c r="M1011" s="104"/>
      <c r="N1011" s="137">
        <v>0</v>
      </c>
      <c r="O1011" s="138">
        <v>0</v>
      </c>
      <c r="P1011" s="138">
        <v>0</v>
      </c>
      <c r="Q1011" s="138">
        <v>0</v>
      </c>
      <c r="R1011" s="138">
        <v>0</v>
      </c>
      <c r="S1011" s="139">
        <v>0</v>
      </c>
      <c r="T1011" s="322">
        <f t="shared" si="237"/>
        <v>0</v>
      </c>
      <c r="U1011" s="140" t="str">
        <f t="shared" si="238"/>
        <v/>
      </c>
      <c r="V1011" s="322">
        <f t="shared" si="242"/>
        <v>0</v>
      </c>
      <c r="W1011" s="140" t="str">
        <f t="shared" si="239"/>
        <v/>
      </c>
      <c r="X1011" s="322">
        <f t="shared" si="240"/>
        <v>0</v>
      </c>
      <c r="Y1011" s="140" t="str">
        <f t="shared" si="241"/>
        <v/>
      </c>
      <c r="Z1011" s="519">
        <v>0</v>
      </c>
      <c r="AA1011" s="111">
        <f t="shared" si="243"/>
        <v>0</v>
      </c>
      <c r="AB1011" s="111">
        <f t="shared" si="244"/>
        <v>0</v>
      </c>
    </row>
    <row r="1012" spans="1:28" ht="15.75" customHeight="1">
      <c r="A1012" s="115" t="s">
        <v>693</v>
      </c>
      <c r="B1012" s="124" t="s">
        <v>172</v>
      </c>
      <c r="C1012" s="101" t="s">
        <v>3190</v>
      </c>
      <c r="D1012" s="101" t="s">
        <v>3185</v>
      </c>
      <c r="E1012" s="554" t="s">
        <v>695</v>
      </c>
      <c r="F1012" s="534" t="s">
        <v>694</v>
      </c>
      <c r="G1012" s="555"/>
      <c r="H1012" s="555"/>
      <c r="I1012" s="556"/>
      <c r="J1012" s="557"/>
      <c r="K1012" s="558"/>
      <c r="L1012" s="95"/>
      <c r="M1012" s="104"/>
      <c r="N1012" s="137">
        <v>0</v>
      </c>
      <c r="O1012" s="138">
        <v>0</v>
      </c>
      <c r="P1012" s="138">
        <v>0</v>
      </c>
      <c r="Q1012" s="138">
        <v>0</v>
      </c>
      <c r="R1012" s="138">
        <v>0</v>
      </c>
      <c r="S1012" s="139">
        <v>0</v>
      </c>
      <c r="T1012" s="322">
        <f t="shared" si="237"/>
        <v>0</v>
      </c>
      <c r="U1012" s="140" t="str">
        <f t="shared" si="238"/>
        <v/>
      </c>
      <c r="V1012" s="322">
        <f t="shared" si="242"/>
        <v>0</v>
      </c>
      <c r="W1012" s="140" t="str">
        <f t="shared" si="239"/>
        <v/>
      </c>
      <c r="X1012" s="322">
        <f t="shared" si="240"/>
        <v>0</v>
      </c>
      <c r="Y1012" s="140" t="str">
        <f t="shared" si="241"/>
        <v/>
      </c>
      <c r="Z1012" s="519">
        <v>0</v>
      </c>
      <c r="AA1012" s="111">
        <f t="shared" si="243"/>
        <v>0</v>
      </c>
      <c r="AB1012" s="111">
        <f t="shared" si="244"/>
        <v>0</v>
      </c>
    </row>
    <row r="1013" spans="1:28" ht="15.75" customHeight="1">
      <c r="A1013" s="116" t="s">
        <v>696</v>
      </c>
      <c r="B1013" s="126" t="s">
        <v>172</v>
      </c>
      <c r="C1013" s="98" t="s">
        <v>3190</v>
      </c>
      <c r="D1013" s="98" t="s">
        <v>3183</v>
      </c>
      <c r="E1013" s="540" t="s">
        <v>2446</v>
      </c>
      <c r="F1013" s="540" t="s">
        <v>694</v>
      </c>
      <c r="G1013" s="511" t="s">
        <v>229</v>
      </c>
      <c r="H1013" s="511" t="s">
        <v>2972</v>
      </c>
      <c r="I1013" s="544" t="s">
        <v>2973</v>
      </c>
      <c r="J1013" s="542" t="s">
        <v>3572</v>
      </c>
      <c r="K1013" s="543" t="s">
        <v>3574</v>
      </c>
      <c r="L1013" s="95"/>
      <c r="M1013" s="104"/>
      <c r="N1013" s="137">
        <v>176674.3</v>
      </c>
      <c r="O1013" s="138">
        <v>180000</v>
      </c>
      <c r="P1013" s="138">
        <v>180000</v>
      </c>
      <c r="Q1013" s="138">
        <v>180000</v>
      </c>
      <c r="R1013" s="138">
        <v>180000</v>
      </c>
      <c r="S1013" s="139">
        <v>180000</v>
      </c>
      <c r="T1013" s="322">
        <f t="shared" si="237"/>
        <v>3325.7000000000116</v>
      </c>
      <c r="U1013" s="140">
        <f t="shared" si="238"/>
        <v>1.8823903646427418E-2</v>
      </c>
      <c r="V1013" s="322">
        <f t="shared" si="242"/>
        <v>0</v>
      </c>
      <c r="W1013" s="140">
        <f t="shared" si="239"/>
        <v>0</v>
      </c>
      <c r="X1013" s="322">
        <f t="shared" si="240"/>
        <v>0</v>
      </c>
      <c r="Y1013" s="140">
        <f t="shared" si="241"/>
        <v>0</v>
      </c>
      <c r="Z1013" s="519">
        <v>135000</v>
      </c>
      <c r="AA1013" s="111">
        <f t="shared" si="243"/>
        <v>180000</v>
      </c>
      <c r="AB1013" s="111">
        <f t="shared" si="244"/>
        <v>0</v>
      </c>
    </row>
    <row r="1014" spans="1:28" ht="15.75" customHeight="1">
      <c r="A1014" s="116" t="s">
        <v>2447</v>
      </c>
      <c r="B1014" s="126" t="s">
        <v>172</v>
      </c>
      <c r="C1014" s="98" t="s">
        <v>3190</v>
      </c>
      <c r="D1014" s="98" t="s">
        <v>3193</v>
      </c>
      <c r="E1014" s="540" t="s">
        <v>2448</v>
      </c>
      <c r="F1014" s="539" t="s">
        <v>2449</v>
      </c>
      <c r="G1014" s="511" t="s">
        <v>229</v>
      </c>
      <c r="H1014" s="511" t="s">
        <v>2972</v>
      </c>
      <c r="I1014" s="544" t="s">
        <v>2973</v>
      </c>
      <c r="J1014" s="542" t="s">
        <v>3572</v>
      </c>
      <c r="K1014" s="543" t="s">
        <v>3574</v>
      </c>
      <c r="L1014" s="95"/>
      <c r="M1014" s="104"/>
      <c r="N1014" s="137">
        <v>1059324.98</v>
      </c>
      <c r="O1014" s="138">
        <v>1057000</v>
      </c>
      <c r="P1014" s="138">
        <v>1100000</v>
      </c>
      <c r="Q1014" s="138">
        <v>1100000</v>
      </c>
      <c r="R1014" s="138">
        <v>1100000</v>
      </c>
      <c r="S1014" s="139">
        <v>1100000</v>
      </c>
      <c r="T1014" s="322">
        <f t="shared" si="237"/>
        <v>40675.020000000019</v>
      </c>
      <c r="U1014" s="140">
        <f t="shared" si="238"/>
        <v>3.8397112093023635E-2</v>
      </c>
      <c r="V1014" s="322">
        <f t="shared" si="242"/>
        <v>43000</v>
      </c>
      <c r="W1014" s="140">
        <f t="shared" si="239"/>
        <v>4.068117313150426E-2</v>
      </c>
      <c r="X1014" s="322">
        <f t="shared" si="240"/>
        <v>0</v>
      </c>
      <c r="Y1014" s="140">
        <f t="shared" si="241"/>
        <v>0</v>
      </c>
      <c r="Z1014" s="519">
        <v>825000</v>
      </c>
      <c r="AA1014" s="111">
        <f t="shared" si="243"/>
        <v>1100000</v>
      </c>
      <c r="AB1014" s="111">
        <f t="shared" si="244"/>
        <v>0</v>
      </c>
    </row>
    <row r="1015" spans="1:28" ht="15.75" customHeight="1">
      <c r="A1015" s="115" t="s">
        <v>697</v>
      </c>
      <c r="B1015" s="124" t="s">
        <v>172</v>
      </c>
      <c r="C1015" s="101" t="s">
        <v>3191</v>
      </c>
      <c r="D1015" s="101" t="s">
        <v>3185</v>
      </c>
      <c r="E1015" s="534" t="s">
        <v>699</v>
      </c>
      <c r="F1015" s="534" t="s">
        <v>698</v>
      </c>
      <c r="G1015" s="555"/>
      <c r="H1015" s="555"/>
      <c r="I1015" s="556"/>
      <c r="J1015" s="557"/>
      <c r="K1015" s="558"/>
      <c r="L1015" s="95"/>
      <c r="M1015" s="104"/>
      <c r="N1015" s="137">
        <v>0</v>
      </c>
      <c r="O1015" s="138">
        <v>0</v>
      </c>
      <c r="P1015" s="138">
        <v>0</v>
      </c>
      <c r="Q1015" s="138">
        <v>0</v>
      </c>
      <c r="R1015" s="138">
        <v>0</v>
      </c>
      <c r="S1015" s="139">
        <v>0</v>
      </c>
      <c r="T1015" s="322">
        <f t="shared" si="237"/>
        <v>0</v>
      </c>
      <c r="U1015" s="140" t="str">
        <f t="shared" si="238"/>
        <v/>
      </c>
      <c r="V1015" s="322">
        <f t="shared" si="242"/>
        <v>0</v>
      </c>
      <c r="W1015" s="140" t="str">
        <f t="shared" si="239"/>
        <v/>
      </c>
      <c r="X1015" s="322">
        <f t="shared" si="240"/>
        <v>0</v>
      </c>
      <c r="Y1015" s="140" t="str">
        <f t="shared" si="241"/>
        <v/>
      </c>
      <c r="Z1015" s="519">
        <v>0</v>
      </c>
      <c r="AA1015" s="111">
        <f t="shared" si="243"/>
        <v>0</v>
      </c>
      <c r="AB1015" s="111">
        <f t="shared" si="244"/>
        <v>0</v>
      </c>
    </row>
    <row r="1016" spans="1:28" ht="15.75" customHeight="1">
      <c r="A1016" s="114" t="s">
        <v>700</v>
      </c>
      <c r="B1016" s="125" t="s">
        <v>172</v>
      </c>
      <c r="C1016" s="97" t="s">
        <v>3191</v>
      </c>
      <c r="D1016" s="97" t="s">
        <v>3183</v>
      </c>
      <c r="E1016" s="540" t="s">
        <v>699</v>
      </c>
      <c r="F1016" s="540" t="s">
        <v>698</v>
      </c>
      <c r="G1016" s="555" t="s">
        <v>231</v>
      </c>
      <c r="H1016" s="555" t="s">
        <v>3620</v>
      </c>
      <c r="I1016" s="556" t="s">
        <v>1497</v>
      </c>
      <c r="J1016" s="557" t="s">
        <v>3572</v>
      </c>
      <c r="K1016" s="558" t="s">
        <v>3574</v>
      </c>
      <c r="L1016" s="102"/>
      <c r="M1016" s="104"/>
      <c r="N1016" s="137">
        <v>256924.48000000004</v>
      </c>
      <c r="O1016" s="138">
        <v>260000</v>
      </c>
      <c r="P1016" s="138">
        <v>250000</v>
      </c>
      <c r="Q1016" s="138">
        <v>250000</v>
      </c>
      <c r="R1016" s="138">
        <v>250000</v>
      </c>
      <c r="S1016" s="139">
        <v>250000</v>
      </c>
      <c r="T1016" s="322">
        <f t="shared" si="237"/>
        <v>-6924.4800000000396</v>
      </c>
      <c r="U1016" s="140">
        <f t="shared" si="238"/>
        <v>-2.6951421678463799E-2</v>
      </c>
      <c r="V1016" s="322">
        <f t="shared" si="242"/>
        <v>-10000</v>
      </c>
      <c r="W1016" s="140">
        <f t="shared" si="239"/>
        <v>-3.8461538461538464E-2</v>
      </c>
      <c r="X1016" s="322">
        <f t="shared" si="240"/>
        <v>0</v>
      </c>
      <c r="Y1016" s="140">
        <f t="shared" si="241"/>
        <v>0</v>
      </c>
      <c r="Z1016" s="519">
        <v>187500</v>
      </c>
      <c r="AA1016" s="111">
        <f t="shared" si="243"/>
        <v>250000</v>
      </c>
      <c r="AB1016" s="111">
        <f t="shared" si="244"/>
        <v>0</v>
      </c>
    </row>
    <row r="1017" spans="1:28" ht="24.75" customHeight="1">
      <c r="A1017" s="115" t="s">
        <v>701</v>
      </c>
      <c r="B1017" s="124" t="s">
        <v>172</v>
      </c>
      <c r="C1017" s="101" t="s">
        <v>2139</v>
      </c>
      <c r="D1017" s="101" t="s">
        <v>3185</v>
      </c>
      <c r="E1017" s="554" t="s">
        <v>174</v>
      </c>
      <c r="F1017" s="534" t="s">
        <v>702</v>
      </c>
      <c r="G1017" s="555"/>
      <c r="H1017" s="555"/>
      <c r="I1017" s="556"/>
      <c r="J1017" s="557"/>
      <c r="K1017" s="558"/>
      <c r="L1017" s="95"/>
      <c r="M1017" s="104"/>
      <c r="N1017" s="137">
        <v>0</v>
      </c>
      <c r="O1017" s="138">
        <v>0</v>
      </c>
      <c r="P1017" s="138">
        <v>0</v>
      </c>
      <c r="Q1017" s="138">
        <v>0</v>
      </c>
      <c r="R1017" s="138">
        <v>0</v>
      </c>
      <c r="S1017" s="139">
        <v>0</v>
      </c>
      <c r="T1017" s="322">
        <f t="shared" si="237"/>
        <v>0</v>
      </c>
      <c r="U1017" s="140" t="str">
        <f t="shared" si="238"/>
        <v/>
      </c>
      <c r="V1017" s="322">
        <f t="shared" si="242"/>
        <v>0</v>
      </c>
      <c r="W1017" s="140" t="str">
        <f t="shared" si="239"/>
        <v/>
      </c>
      <c r="X1017" s="322">
        <f t="shared" si="240"/>
        <v>0</v>
      </c>
      <c r="Y1017" s="140" t="str">
        <f t="shared" si="241"/>
        <v/>
      </c>
      <c r="Z1017" s="519">
        <v>0</v>
      </c>
      <c r="AA1017" s="111">
        <f t="shared" si="243"/>
        <v>0</v>
      </c>
      <c r="AB1017" s="111">
        <f t="shared" si="244"/>
        <v>0</v>
      </c>
    </row>
    <row r="1018" spans="1:28" ht="15.75" customHeight="1">
      <c r="A1018" s="114" t="s">
        <v>703</v>
      </c>
      <c r="B1018" s="125" t="s">
        <v>172</v>
      </c>
      <c r="C1018" s="97" t="s">
        <v>2139</v>
      </c>
      <c r="D1018" s="97" t="s">
        <v>3183</v>
      </c>
      <c r="E1018" s="559" t="s">
        <v>174</v>
      </c>
      <c r="F1018" s="540" t="s">
        <v>702</v>
      </c>
      <c r="G1018" s="555" t="s">
        <v>231</v>
      </c>
      <c r="H1018" s="555" t="s">
        <v>3620</v>
      </c>
      <c r="I1018" s="556" t="s">
        <v>1497</v>
      </c>
      <c r="J1018" s="557" t="s">
        <v>3572</v>
      </c>
      <c r="K1018" s="558" t="s">
        <v>3574</v>
      </c>
      <c r="L1018" s="95"/>
      <c r="M1018" s="104"/>
      <c r="N1018" s="137">
        <v>2484618.02</v>
      </c>
      <c r="O1018" s="138">
        <v>2470000</v>
      </c>
      <c r="P1018" s="138">
        <v>2470000</v>
      </c>
      <c r="Q1018" s="138">
        <v>2470000</v>
      </c>
      <c r="R1018" s="138">
        <v>2470000</v>
      </c>
      <c r="S1018" s="139">
        <v>2470000</v>
      </c>
      <c r="T1018" s="322">
        <f t="shared" si="237"/>
        <v>-14618.020000000019</v>
      </c>
      <c r="U1018" s="140">
        <f t="shared" si="238"/>
        <v>-5.8834073818719301E-3</v>
      </c>
      <c r="V1018" s="322">
        <f t="shared" si="242"/>
        <v>0</v>
      </c>
      <c r="W1018" s="140">
        <f t="shared" si="239"/>
        <v>0</v>
      </c>
      <c r="X1018" s="322">
        <f t="shared" si="240"/>
        <v>0</v>
      </c>
      <c r="Y1018" s="140">
        <f t="shared" si="241"/>
        <v>0</v>
      </c>
      <c r="Z1018" s="519">
        <v>1852500</v>
      </c>
      <c r="AA1018" s="111">
        <f t="shared" si="243"/>
        <v>2470000</v>
      </c>
      <c r="AB1018" s="111">
        <f t="shared" si="244"/>
        <v>0</v>
      </c>
    </row>
    <row r="1019" spans="1:28" ht="15.75" customHeight="1">
      <c r="A1019" s="113" t="s">
        <v>704</v>
      </c>
      <c r="B1019" s="135" t="s">
        <v>705</v>
      </c>
      <c r="C1019" s="136" t="s">
        <v>3184</v>
      </c>
      <c r="D1019" s="136" t="s">
        <v>3185</v>
      </c>
      <c r="E1019" s="529" t="s">
        <v>707</v>
      </c>
      <c r="F1019" s="529" t="s">
        <v>706</v>
      </c>
      <c r="G1019" s="530"/>
      <c r="H1019" s="530"/>
      <c r="I1019" s="531"/>
      <c r="J1019" s="532"/>
      <c r="K1019" s="533"/>
      <c r="L1019" s="95"/>
      <c r="M1019" s="147"/>
      <c r="N1019" s="137">
        <v>0</v>
      </c>
      <c r="O1019" s="138">
        <v>0</v>
      </c>
      <c r="P1019" s="138">
        <v>0</v>
      </c>
      <c r="Q1019" s="138">
        <v>0</v>
      </c>
      <c r="R1019" s="138">
        <v>0</v>
      </c>
      <c r="S1019" s="139">
        <v>0</v>
      </c>
      <c r="T1019" s="322">
        <f t="shared" si="237"/>
        <v>0</v>
      </c>
      <c r="U1019" s="140" t="str">
        <f t="shared" si="238"/>
        <v/>
      </c>
      <c r="V1019" s="322">
        <f t="shared" si="242"/>
        <v>0</v>
      </c>
      <c r="W1019" s="140" t="str">
        <f t="shared" si="239"/>
        <v/>
      </c>
      <c r="X1019" s="322">
        <f t="shared" si="240"/>
        <v>0</v>
      </c>
      <c r="Y1019" s="140" t="str">
        <f t="shared" si="241"/>
        <v/>
      </c>
      <c r="Z1019" s="519">
        <v>0</v>
      </c>
      <c r="AA1019" s="111">
        <f t="shared" si="243"/>
        <v>0</v>
      </c>
      <c r="AB1019" s="111">
        <f t="shared" si="244"/>
        <v>0</v>
      </c>
    </row>
    <row r="1020" spans="1:28" ht="27" customHeight="1">
      <c r="A1020" s="115" t="s">
        <v>708</v>
      </c>
      <c r="B1020" s="124" t="s">
        <v>705</v>
      </c>
      <c r="C1020" s="101" t="s">
        <v>3186</v>
      </c>
      <c r="D1020" s="101" t="s">
        <v>3185</v>
      </c>
      <c r="E1020" s="534" t="s">
        <v>709</v>
      </c>
      <c r="F1020" s="534" t="s">
        <v>2450</v>
      </c>
      <c r="G1020" s="555"/>
      <c r="H1020" s="555"/>
      <c r="I1020" s="556"/>
      <c r="J1020" s="557"/>
      <c r="K1020" s="558"/>
      <c r="L1020" s="95"/>
      <c r="M1020" s="104"/>
      <c r="N1020" s="137">
        <v>0</v>
      </c>
      <c r="O1020" s="138">
        <v>0</v>
      </c>
      <c r="P1020" s="138">
        <v>0</v>
      </c>
      <c r="Q1020" s="138">
        <v>0</v>
      </c>
      <c r="R1020" s="138">
        <v>0</v>
      </c>
      <c r="S1020" s="139">
        <v>0</v>
      </c>
      <c r="T1020" s="322">
        <f t="shared" si="237"/>
        <v>0</v>
      </c>
      <c r="U1020" s="140" t="str">
        <f t="shared" si="238"/>
        <v/>
      </c>
      <c r="V1020" s="322">
        <f t="shared" si="242"/>
        <v>0</v>
      </c>
      <c r="W1020" s="140" t="str">
        <f t="shared" si="239"/>
        <v/>
      </c>
      <c r="X1020" s="322">
        <f t="shared" si="240"/>
        <v>0</v>
      </c>
      <c r="Y1020" s="140" t="str">
        <f t="shared" si="241"/>
        <v/>
      </c>
      <c r="Z1020" s="519">
        <v>0</v>
      </c>
      <c r="AA1020" s="111">
        <f t="shared" si="243"/>
        <v>0</v>
      </c>
      <c r="AB1020" s="111">
        <f t="shared" si="244"/>
        <v>0</v>
      </c>
    </row>
    <row r="1021" spans="1:28" ht="15.75" customHeight="1">
      <c r="A1021" s="114" t="s">
        <v>710</v>
      </c>
      <c r="B1021" s="125" t="s">
        <v>705</v>
      </c>
      <c r="C1021" s="97" t="s">
        <v>3186</v>
      </c>
      <c r="D1021" s="97" t="s">
        <v>3183</v>
      </c>
      <c r="E1021" s="540" t="s">
        <v>712</v>
      </c>
      <c r="F1021" s="540" t="s">
        <v>711</v>
      </c>
      <c r="G1021" s="555" t="s">
        <v>819</v>
      </c>
      <c r="H1021" s="555" t="s">
        <v>2451</v>
      </c>
      <c r="I1021" s="556" t="s">
        <v>713</v>
      </c>
      <c r="J1021" s="557" t="s">
        <v>2912</v>
      </c>
      <c r="K1021" s="558" t="s">
        <v>2913</v>
      </c>
      <c r="L1021" s="95"/>
      <c r="M1021" s="104"/>
      <c r="N1021" s="137">
        <v>4.0599999999999996</v>
      </c>
      <c r="O1021" s="138">
        <v>0</v>
      </c>
      <c r="P1021" s="138">
        <v>0</v>
      </c>
      <c r="Q1021" s="138">
        <v>0</v>
      </c>
      <c r="R1021" s="138">
        <v>0</v>
      </c>
      <c r="S1021" s="139">
        <v>0</v>
      </c>
      <c r="T1021" s="322">
        <f t="shared" si="237"/>
        <v>-4.0599999999999996</v>
      </c>
      <c r="U1021" s="140">
        <f t="shared" si="238"/>
        <v>-1</v>
      </c>
      <c r="V1021" s="322">
        <f t="shared" si="242"/>
        <v>0</v>
      </c>
      <c r="W1021" s="140" t="str">
        <f t="shared" si="239"/>
        <v/>
      </c>
      <c r="X1021" s="322">
        <f t="shared" si="240"/>
        <v>0</v>
      </c>
      <c r="Y1021" s="140" t="str">
        <f t="shared" si="241"/>
        <v/>
      </c>
      <c r="Z1021" s="519">
        <v>0.46</v>
      </c>
      <c r="AA1021" s="111">
        <f t="shared" si="243"/>
        <v>0.6133333333333334</v>
      </c>
      <c r="AB1021" s="111">
        <f t="shared" si="244"/>
        <v>-0.6133333333333334</v>
      </c>
    </row>
    <row r="1022" spans="1:28" ht="27" customHeight="1">
      <c r="A1022" s="114" t="s">
        <v>715</v>
      </c>
      <c r="B1022" s="125" t="s">
        <v>705</v>
      </c>
      <c r="C1022" s="97" t="s">
        <v>3186</v>
      </c>
      <c r="D1022" s="97" t="s">
        <v>3193</v>
      </c>
      <c r="E1022" s="559" t="s">
        <v>717</v>
      </c>
      <c r="F1022" s="540" t="s">
        <v>716</v>
      </c>
      <c r="G1022" s="555" t="s">
        <v>817</v>
      </c>
      <c r="H1022" s="555" t="s">
        <v>2452</v>
      </c>
      <c r="I1022" s="556" t="s">
        <v>2453</v>
      </c>
      <c r="J1022" s="557" t="s">
        <v>2912</v>
      </c>
      <c r="K1022" s="558" t="s">
        <v>2913</v>
      </c>
      <c r="L1022" s="95"/>
      <c r="M1022" s="104"/>
      <c r="N1022" s="137">
        <v>0.6</v>
      </c>
      <c r="O1022" s="138">
        <v>0</v>
      </c>
      <c r="P1022" s="138">
        <v>0</v>
      </c>
      <c r="Q1022" s="138">
        <v>0</v>
      </c>
      <c r="R1022" s="138">
        <v>0</v>
      </c>
      <c r="S1022" s="139">
        <v>0</v>
      </c>
      <c r="T1022" s="322">
        <f t="shared" si="237"/>
        <v>-0.6</v>
      </c>
      <c r="U1022" s="140">
        <f t="shared" si="238"/>
        <v>-1</v>
      </c>
      <c r="V1022" s="322">
        <f t="shared" si="242"/>
        <v>0</v>
      </c>
      <c r="W1022" s="140" t="str">
        <f t="shared" si="239"/>
        <v/>
      </c>
      <c r="X1022" s="322">
        <f t="shared" si="240"/>
        <v>0</v>
      </c>
      <c r="Y1022" s="140" t="str">
        <f t="shared" si="241"/>
        <v/>
      </c>
      <c r="Z1022" s="519">
        <v>0</v>
      </c>
      <c r="AA1022" s="111">
        <f t="shared" si="243"/>
        <v>0</v>
      </c>
      <c r="AB1022" s="111">
        <f t="shared" si="244"/>
        <v>0</v>
      </c>
    </row>
    <row r="1023" spans="1:28" ht="15.75" customHeight="1">
      <c r="A1023" s="115" t="s">
        <v>718</v>
      </c>
      <c r="B1023" s="124" t="s">
        <v>705</v>
      </c>
      <c r="C1023" s="101" t="s">
        <v>3187</v>
      </c>
      <c r="D1023" s="101" t="s">
        <v>3185</v>
      </c>
      <c r="E1023" s="534" t="s">
        <v>720</v>
      </c>
      <c r="F1023" s="534" t="s">
        <v>719</v>
      </c>
      <c r="G1023" s="555"/>
      <c r="H1023" s="555"/>
      <c r="I1023" s="556"/>
      <c r="J1023" s="557"/>
      <c r="K1023" s="558"/>
      <c r="L1023" s="95"/>
      <c r="M1023" s="104"/>
      <c r="N1023" s="137">
        <v>0</v>
      </c>
      <c r="O1023" s="138">
        <v>0</v>
      </c>
      <c r="P1023" s="138">
        <v>0</v>
      </c>
      <c r="Q1023" s="138">
        <v>0</v>
      </c>
      <c r="R1023" s="138">
        <v>0</v>
      </c>
      <c r="S1023" s="139">
        <v>0</v>
      </c>
      <c r="T1023" s="322">
        <f t="shared" si="237"/>
        <v>0</v>
      </c>
      <c r="U1023" s="140" t="str">
        <f t="shared" si="238"/>
        <v/>
      </c>
      <c r="V1023" s="322">
        <f t="shared" si="242"/>
        <v>0</v>
      </c>
      <c r="W1023" s="140" t="str">
        <f t="shared" si="239"/>
        <v/>
      </c>
      <c r="X1023" s="322">
        <f t="shared" si="240"/>
        <v>0</v>
      </c>
      <c r="Y1023" s="140" t="str">
        <f t="shared" si="241"/>
        <v/>
      </c>
      <c r="Z1023" s="519">
        <v>0</v>
      </c>
      <c r="AA1023" s="111">
        <f t="shared" si="243"/>
        <v>0</v>
      </c>
      <c r="AB1023" s="111">
        <f t="shared" si="244"/>
        <v>0</v>
      </c>
    </row>
    <row r="1024" spans="1:28" ht="15.75" customHeight="1">
      <c r="A1024" s="114" t="s">
        <v>721</v>
      </c>
      <c r="B1024" s="125" t="s">
        <v>705</v>
      </c>
      <c r="C1024" s="97" t="s">
        <v>3187</v>
      </c>
      <c r="D1024" s="97" t="s">
        <v>3183</v>
      </c>
      <c r="E1024" s="540" t="s">
        <v>720</v>
      </c>
      <c r="F1024" s="540" t="s">
        <v>719</v>
      </c>
      <c r="G1024" s="555" t="s">
        <v>829</v>
      </c>
      <c r="H1024" s="555" t="s">
        <v>722</v>
      </c>
      <c r="I1024" s="556" t="s">
        <v>723</v>
      </c>
      <c r="J1024" s="557" t="s">
        <v>2912</v>
      </c>
      <c r="K1024" s="558" t="s">
        <v>2913</v>
      </c>
      <c r="L1024" s="95"/>
      <c r="M1024" s="104"/>
      <c r="N1024" s="137">
        <v>0</v>
      </c>
      <c r="O1024" s="138">
        <v>0</v>
      </c>
      <c r="P1024" s="138">
        <v>0</v>
      </c>
      <c r="Q1024" s="138">
        <v>0</v>
      </c>
      <c r="R1024" s="138">
        <v>0</v>
      </c>
      <c r="S1024" s="139">
        <v>0</v>
      </c>
      <c r="T1024" s="322">
        <f t="shared" si="237"/>
        <v>0</v>
      </c>
      <c r="U1024" s="140" t="str">
        <f t="shared" si="238"/>
        <v/>
      </c>
      <c r="V1024" s="322">
        <f t="shared" si="242"/>
        <v>0</v>
      </c>
      <c r="W1024" s="140" t="str">
        <f t="shared" si="239"/>
        <v/>
      </c>
      <c r="X1024" s="322">
        <f t="shared" si="240"/>
        <v>0</v>
      </c>
      <c r="Y1024" s="140" t="str">
        <f t="shared" si="241"/>
        <v/>
      </c>
      <c r="Z1024" s="519">
        <v>0</v>
      </c>
      <c r="AA1024" s="111">
        <f t="shared" si="243"/>
        <v>0</v>
      </c>
      <c r="AB1024" s="111">
        <f t="shared" si="244"/>
        <v>0</v>
      </c>
    </row>
    <row r="1025" spans="1:28" ht="15.75" customHeight="1">
      <c r="A1025" s="115" t="s">
        <v>724</v>
      </c>
      <c r="B1025" s="124" t="s">
        <v>705</v>
      </c>
      <c r="C1025" s="101" t="s">
        <v>2139</v>
      </c>
      <c r="D1025" s="101" t="s">
        <v>3185</v>
      </c>
      <c r="E1025" s="534" t="s">
        <v>726</v>
      </c>
      <c r="F1025" s="534" t="s">
        <v>725</v>
      </c>
      <c r="G1025" s="555"/>
      <c r="H1025" s="555"/>
      <c r="I1025" s="556"/>
      <c r="J1025" s="557"/>
      <c r="K1025" s="558"/>
      <c r="L1025" s="95"/>
      <c r="M1025" s="104"/>
      <c r="N1025" s="137">
        <v>0</v>
      </c>
      <c r="O1025" s="138">
        <v>0</v>
      </c>
      <c r="P1025" s="138">
        <v>0</v>
      </c>
      <c r="Q1025" s="138">
        <v>0</v>
      </c>
      <c r="R1025" s="138">
        <v>0</v>
      </c>
      <c r="S1025" s="139">
        <v>0</v>
      </c>
      <c r="T1025" s="322">
        <f t="shared" si="237"/>
        <v>0</v>
      </c>
      <c r="U1025" s="140" t="str">
        <f t="shared" si="238"/>
        <v/>
      </c>
      <c r="V1025" s="322">
        <f t="shared" si="242"/>
        <v>0</v>
      </c>
      <c r="W1025" s="140" t="str">
        <f t="shared" si="239"/>
        <v/>
      </c>
      <c r="X1025" s="322">
        <f t="shared" si="240"/>
        <v>0</v>
      </c>
      <c r="Y1025" s="140" t="str">
        <f t="shared" si="241"/>
        <v/>
      </c>
      <c r="Z1025" s="519">
        <v>0</v>
      </c>
      <c r="AA1025" s="111">
        <f t="shared" si="243"/>
        <v>0</v>
      </c>
      <c r="AB1025" s="111">
        <f t="shared" si="244"/>
        <v>0</v>
      </c>
    </row>
    <row r="1026" spans="1:28" ht="15.75" customHeight="1">
      <c r="A1026" s="114" t="s">
        <v>727</v>
      </c>
      <c r="B1026" s="125" t="s">
        <v>705</v>
      </c>
      <c r="C1026" s="97" t="s">
        <v>2139</v>
      </c>
      <c r="D1026" s="97" t="s">
        <v>3183</v>
      </c>
      <c r="E1026" s="540" t="s">
        <v>4427</v>
      </c>
      <c r="F1026" s="540" t="s">
        <v>4428</v>
      </c>
      <c r="G1026" s="555" t="s">
        <v>821</v>
      </c>
      <c r="H1026" s="555" t="s">
        <v>2454</v>
      </c>
      <c r="I1026" s="556" t="s">
        <v>728</v>
      </c>
      <c r="J1026" s="557" t="s">
        <v>2912</v>
      </c>
      <c r="K1026" s="558" t="s">
        <v>2913</v>
      </c>
      <c r="L1026" s="95"/>
      <c r="M1026" s="104"/>
      <c r="N1026" s="137">
        <v>19415.27</v>
      </c>
      <c r="O1026" s="138">
        <v>15000</v>
      </c>
      <c r="P1026" s="138">
        <v>15000</v>
      </c>
      <c r="Q1026" s="138">
        <v>15000</v>
      </c>
      <c r="R1026" s="138">
        <v>15000</v>
      </c>
      <c r="S1026" s="139">
        <v>15000</v>
      </c>
      <c r="T1026" s="322">
        <f t="shared" si="237"/>
        <v>-4415.2700000000004</v>
      </c>
      <c r="U1026" s="140">
        <f t="shared" si="238"/>
        <v>-0.2274122378931635</v>
      </c>
      <c r="V1026" s="322">
        <f t="shared" si="242"/>
        <v>0</v>
      </c>
      <c r="W1026" s="140">
        <f t="shared" si="239"/>
        <v>0</v>
      </c>
      <c r="X1026" s="322">
        <f t="shared" si="240"/>
        <v>0</v>
      </c>
      <c r="Y1026" s="140">
        <f t="shared" si="241"/>
        <v>0</v>
      </c>
      <c r="Z1026" s="519">
        <v>7464.47</v>
      </c>
      <c r="AA1026" s="111">
        <f t="shared" si="243"/>
        <v>9952.626666666667</v>
      </c>
      <c r="AB1026" s="111">
        <f t="shared" si="244"/>
        <v>5047.373333333333</v>
      </c>
    </row>
    <row r="1027" spans="1:28" ht="15.75" customHeight="1">
      <c r="A1027" s="114" t="s">
        <v>729</v>
      </c>
      <c r="B1027" s="125" t="s">
        <v>705</v>
      </c>
      <c r="C1027" s="97" t="s">
        <v>2139</v>
      </c>
      <c r="D1027" s="97" t="s">
        <v>3193</v>
      </c>
      <c r="E1027" s="540" t="s">
        <v>731</v>
      </c>
      <c r="F1027" s="540" t="s">
        <v>730</v>
      </c>
      <c r="G1027" s="555" t="s">
        <v>825</v>
      </c>
      <c r="H1027" s="555" t="s">
        <v>2455</v>
      </c>
      <c r="I1027" s="556" t="s">
        <v>732</v>
      </c>
      <c r="J1027" s="557" t="s">
        <v>2912</v>
      </c>
      <c r="K1027" s="558" t="s">
        <v>2913</v>
      </c>
      <c r="L1027" s="95"/>
      <c r="M1027" s="104"/>
      <c r="N1027" s="137">
        <v>0</v>
      </c>
      <c r="O1027" s="138">
        <v>0</v>
      </c>
      <c r="P1027" s="138">
        <v>0</v>
      </c>
      <c r="Q1027" s="138">
        <v>0</v>
      </c>
      <c r="R1027" s="138">
        <v>0</v>
      </c>
      <c r="S1027" s="139">
        <v>0</v>
      </c>
      <c r="T1027" s="322">
        <f t="shared" ref="T1027:T1086" si="250">IF(N1027="","",Q1027-N1027)</f>
        <v>0</v>
      </c>
      <c r="U1027" s="140" t="str">
        <f t="shared" ref="U1027:U1086" si="251">IF(N1027=0,"",T1027/N1027)</f>
        <v/>
      </c>
      <c r="V1027" s="322">
        <f t="shared" si="242"/>
        <v>0</v>
      </c>
      <c r="W1027" s="140" t="str">
        <f t="shared" ref="W1027:W1086" si="252">IF(O1027=0,"",V1027/O1027)</f>
        <v/>
      </c>
      <c r="X1027" s="322">
        <f t="shared" ref="X1027:X1086" si="253">IF(P1027="","",Q1027-P1027)</f>
        <v>0</v>
      </c>
      <c r="Y1027" s="140" t="str">
        <f t="shared" ref="Y1027:Y1086" si="254">IF(P1027=0,"",X1027/P1027)</f>
        <v/>
      </c>
      <c r="Z1027" s="519">
        <v>0</v>
      </c>
      <c r="AA1027" s="111">
        <f t="shared" si="243"/>
        <v>0</v>
      </c>
      <c r="AB1027" s="111">
        <f t="shared" si="244"/>
        <v>0</v>
      </c>
    </row>
    <row r="1028" spans="1:28" ht="26.25" customHeight="1">
      <c r="A1028" s="510" t="s">
        <v>5188</v>
      </c>
      <c r="B1028" s="305" t="s">
        <v>705</v>
      </c>
      <c r="C1028" s="306" t="s">
        <v>2139</v>
      </c>
      <c r="D1028" s="306" t="s">
        <v>2631</v>
      </c>
      <c r="E1028" s="561" t="s">
        <v>5189</v>
      </c>
      <c r="F1028" s="561" t="s">
        <v>5190</v>
      </c>
      <c r="G1028" s="548" t="s">
        <v>827</v>
      </c>
      <c r="H1028" s="548" t="s">
        <v>5191</v>
      </c>
      <c r="I1028" s="549" t="s">
        <v>5192</v>
      </c>
      <c r="J1028" s="550" t="s">
        <v>2912</v>
      </c>
      <c r="K1028" s="551" t="s">
        <v>2913</v>
      </c>
      <c r="L1028" s="95"/>
      <c r="M1028" s="104"/>
      <c r="N1028" s="137">
        <v>0</v>
      </c>
      <c r="O1028" s="138">
        <v>0</v>
      </c>
      <c r="P1028" s="138">
        <v>0</v>
      </c>
      <c r="Q1028" s="138">
        <v>0</v>
      </c>
      <c r="R1028" s="138">
        <v>0</v>
      </c>
      <c r="S1028" s="139">
        <v>0</v>
      </c>
      <c r="T1028" s="322">
        <f t="shared" ref="T1028:T1029" si="255">IF(N1028="","",Q1028-N1028)</f>
        <v>0</v>
      </c>
      <c r="U1028" s="140" t="str">
        <f t="shared" ref="U1028:U1029" si="256">IF(N1028=0,"",T1028/N1028)</f>
        <v/>
      </c>
      <c r="V1028" s="322">
        <f t="shared" si="242"/>
        <v>0</v>
      </c>
      <c r="W1028" s="140" t="str">
        <f t="shared" ref="W1028:W1029" si="257">IF(O1028=0,"",V1028/O1028)</f>
        <v/>
      </c>
      <c r="X1028" s="322">
        <f t="shared" ref="X1028:X1029" si="258">IF(P1028="","",Q1028-P1028)</f>
        <v>0</v>
      </c>
      <c r="Y1028" s="140" t="str">
        <f t="shared" ref="Y1028:Y1029" si="259">IF(P1028=0,"",X1028/P1028)</f>
        <v/>
      </c>
      <c r="Z1028" s="519">
        <v>0</v>
      </c>
      <c r="AA1028" s="111">
        <f t="shared" si="243"/>
        <v>0</v>
      </c>
      <c r="AB1028" s="111">
        <f t="shared" si="244"/>
        <v>0</v>
      </c>
    </row>
    <row r="1029" spans="1:28" ht="18" customHeight="1">
      <c r="A1029" s="510" t="s">
        <v>5193</v>
      </c>
      <c r="B1029" s="305" t="s">
        <v>705</v>
      </c>
      <c r="C1029" s="306" t="s">
        <v>2139</v>
      </c>
      <c r="D1029" s="306" t="s">
        <v>2137</v>
      </c>
      <c r="E1029" s="561" t="s">
        <v>726</v>
      </c>
      <c r="F1029" s="561" t="s">
        <v>725</v>
      </c>
      <c r="G1029" s="548" t="s">
        <v>831</v>
      </c>
      <c r="H1029" s="548" t="s">
        <v>5194</v>
      </c>
      <c r="I1029" s="549" t="s">
        <v>5195</v>
      </c>
      <c r="J1029" s="550" t="s">
        <v>2912</v>
      </c>
      <c r="K1029" s="551" t="s">
        <v>2913</v>
      </c>
      <c r="L1029" s="95"/>
      <c r="M1029" s="104"/>
      <c r="N1029" s="137">
        <v>0</v>
      </c>
      <c r="O1029" s="138">
        <v>0</v>
      </c>
      <c r="P1029" s="138">
        <v>0</v>
      </c>
      <c r="Q1029" s="138">
        <v>0</v>
      </c>
      <c r="R1029" s="138">
        <v>0</v>
      </c>
      <c r="S1029" s="139">
        <v>0</v>
      </c>
      <c r="T1029" s="322">
        <f t="shared" si="255"/>
        <v>0</v>
      </c>
      <c r="U1029" s="140" t="str">
        <f t="shared" si="256"/>
        <v/>
      </c>
      <c r="V1029" s="322">
        <f t="shared" si="242"/>
        <v>0</v>
      </c>
      <c r="W1029" s="140" t="str">
        <f t="shared" si="257"/>
        <v/>
      </c>
      <c r="X1029" s="322">
        <f t="shared" si="258"/>
        <v>0</v>
      </c>
      <c r="Y1029" s="140" t="str">
        <f t="shared" si="259"/>
        <v/>
      </c>
      <c r="Z1029" s="519">
        <v>0</v>
      </c>
      <c r="AA1029" s="111">
        <f t="shared" si="243"/>
        <v>0</v>
      </c>
      <c r="AB1029" s="111">
        <f t="shared" si="244"/>
        <v>0</v>
      </c>
    </row>
    <row r="1030" spans="1:28" ht="15.75" customHeight="1">
      <c r="A1030" s="113" t="s">
        <v>733</v>
      </c>
      <c r="B1030" s="135" t="s">
        <v>734</v>
      </c>
      <c r="C1030" s="136" t="s">
        <v>3184</v>
      </c>
      <c r="D1030" s="136" t="s">
        <v>3185</v>
      </c>
      <c r="E1030" s="529" t="s">
        <v>2456</v>
      </c>
      <c r="F1030" s="529" t="s">
        <v>735</v>
      </c>
      <c r="G1030" s="530"/>
      <c r="H1030" s="530"/>
      <c r="I1030" s="531"/>
      <c r="J1030" s="532"/>
      <c r="K1030" s="533"/>
      <c r="L1030" s="95"/>
      <c r="M1030" s="147"/>
      <c r="N1030" s="137">
        <v>0</v>
      </c>
      <c r="O1030" s="138">
        <v>0</v>
      </c>
      <c r="P1030" s="138">
        <v>0</v>
      </c>
      <c r="Q1030" s="138">
        <v>0</v>
      </c>
      <c r="R1030" s="138">
        <v>0</v>
      </c>
      <c r="S1030" s="139">
        <v>0</v>
      </c>
      <c r="T1030" s="322">
        <f t="shared" si="250"/>
        <v>0</v>
      </c>
      <c r="U1030" s="140" t="str">
        <f t="shared" si="251"/>
        <v/>
      </c>
      <c r="V1030" s="322">
        <f t="shared" si="242"/>
        <v>0</v>
      </c>
      <c r="W1030" s="140" t="str">
        <f t="shared" si="252"/>
        <v/>
      </c>
      <c r="X1030" s="322">
        <f t="shared" si="253"/>
        <v>0</v>
      </c>
      <c r="Y1030" s="140" t="str">
        <f t="shared" si="254"/>
        <v/>
      </c>
      <c r="Z1030" s="519">
        <v>0</v>
      </c>
      <c r="AA1030" s="111">
        <f t="shared" si="243"/>
        <v>0</v>
      </c>
      <c r="AB1030" s="111">
        <f t="shared" si="244"/>
        <v>0</v>
      </c>
    </row>
    <row r="1031" spans="1:28" ht="15.75" customHeight="1">
      <c r="A1031" s="115" t="s">
        <v>737</v>
      </c>
      <c r="B1031" s="124" t="s">
        <v>734</v>
      </c>
      <c r="C1031" s="101" t="s">
        <v>3186</v>
      </c>
      <c r="D1031" s="101" t="s">
        <v>3185</v>
      </c>
      <c r="E1031" s="534" t="s">
        <v>736</v>
      </c>
      <c r="F1031" s="534" t="s">
        <v>735</v>
      </c>
      <c r="G1031" s="555"/>
      <c r="H1031" s="555"/>
      <c r="I1031" s="556"/>
      <c r="J1031" s="557"/>
      <c r="K1031" s="558"/>
      <c r="L1031" s="95"/>
      <c r="M1031" s="104"/>
      <c r="N1031" s="137">
        <v>0</v>
      </c>
      <c r="O1031" s="138">
        <v>0</v>
      </c>
      <c r="P1031" s="138">
        <v>0</v>
      </c>
      <c r="Q1031" s="138">
        <v>0</v>
      </c>
      <c r="R1031" s="138">
        <v>0</v>
      </c>
      <c r="S1031" s="139">
        <v>0</v>
      </c>
      <c r="T1031" s="322">
        <f t="shared" si="250"/>
        <v>0</v>
      </c>
      <c r="U1031" s="140" t="str">
        <f t="shared" si="251"/>
        <v/>
      </c>
      <c r="V1031" s="322">
        <f t="shared" si="242"/>
        <v>0</v>
      </c>
      <c r="W1031" s="140" t="str">
        <f t="shared" si="252"/>
        <v/>
      </c>
      <c r="X1031" s="322">
        <f t="shared" si="253"/>
        <v>0</v>
      </c>
      <c r="Y1031" s="140" t="str">
        <f t="shared" si="254"/>
        <v/>
      </c>
      <c r="Z1031" s="519">
        <v>0</v>
      </c>
      <c r="AA1031" s="111">
        <f t="shared" si="243"/>
        <v>0</v>
      </c>
      <c r="AB1031" s="111">
        <f t="shared" si="244"/>
        <v>0</v>
      </c>
    </row>
    <row r="1032" spans="1:28" ht="27" customHeight="1">
      <c r="A1032" s="114" t="s">
        <v>2457</v>
      </c>
      <c r="B1032" s="125" t="s">
        <v>734</v>
      </c>
      <c r="C1032" s="97" t="s">
        <v>3186</v>
      </c>
      <c r="D1032" s="97" t="s">
        <v>2833</v>
      </c>
      <c r="E1032" s="540" t="s">
        <v>4425</v>
      </c>
      <c r="F1032" s="559" t="s">
        <v>4426</v>
      </c>
      <c r="G1032" s="555" t="s">
        <v>1630</v>
      </c>
      <c r="H1032" s="512" t="s">
        <v>5196</v>
      </c>
      <c r="I1032" s="556" t="s">
        <v>2458</v>
      </c>
      <c r="J1032" s="557" t="s">
        <v>740</v>
      </c>
      <c r="K1032" s="558" t="s">
        <v>745</v>
      </c>
      <c r="L1032" s="95"/>
      <c r="M1032" s="104"/>
      <c r="N1032" s="137">
        <v>0</v>
      </c>
      <c r="O1032" s="138">
        <v>0</v>
      </c>
      <c r="P1032" s="138">
        <v>0</v>
      </c>
      <c r="Q1032" s="138">
        <v>0</v>
      </c>
      <c r="R1032" s="138">
        <v>0</v>
      </c>
      <c r="S1032" s="139">
        <v>0</v>
      </c>
      <c r="T1032" s="322">
        <f t="shared" si="250"/>
        <v>0</v>
      </c>
      <c r="U1032" s="140" t="str">
        <f t="shared" si="251"/>
        <v/>
      </c>
      <c r="V1032" s="322">
        <f t="shared" si="242"/>
        <v>0</v>
      </c>
      <c r="W1032" s="140" t="str">
        <f t="shared" si="252"/>
        <v/>
      </c>
      <c r="X1032" s="322">
        <f t="shared" si="253"/>
        <v>0</v>
      </c>
      <c r="Y1032" s="140" t="str">
        <f t="shared" si="254"/>
        <v/>
      </c>
      <c r="Z1032" s="519">
        <v>0</v>
      </c>
      <c r="AA1032" s="111">
        <f t="shared" si="243"/>
        <v>0</v>
      </c>
      <c r="AB1032" s="111">
        <f t="shared" si="244"/>
        <v>0</v>
      </c>
    </row>
    <row r="1033" spans="1:28" ht="27" customHeight="1">
      <c r="A1033" s="114" t="s">
        <v>2459</v>
      </c>
      <c r="B1033" s="125" t="s">
        <v>734</v>
      </c>
      <c r="C1033" s="97" t="s">
        <v>3186</v>
      </c>
      <c r="D1033" s="97" t="s">
        <v>1378</v>
      </c>
      <c r="E1033" s="540" t="s">
        <v>2460</v>
      </c>
      <c r="F1033" s="559" t="s">
        <v>2461</v>
      </c>
      <c r="G1033" s="555" t="s">
        <v>1631</v>
      </c>
      <c r="H1033" s="512" t="s">
        <v>5197</v>
      </c>
      <c r="I1033" s="556" t="s">
        <v>2462</v>
      </c>
      <c r="J1033" s="557" t="s">
        <v>740</v>
      </c>
      <c r="K1033" s="558" t="s">
        <v>745</v>
      </c>
      <c r="L1033" s="95"/>
      <c r="M1033" s="104"/>
      <c r="N1033" s="137">
        <v>5017465.2</v>
      </c>
      <c r="O1033" s="138">
        <v>0</v>
      </c>
      <c r="P1033" s="138">
        <v>5068080.4800000004</v>
      </c>
      <c r="Q1033" s="138">
        <v>5000000</v>
      </c>
      <c r="R1033" s="138">
        <v>5000000</v>
      </c>
      <c r="S1033" s="139">
        <v>5000000</v>
      </c>
      <c r="T1033" s="322">
        <f t="shared" si="250"/>
        <v>-17465.200000000186</v>
      </c>
      <c r="U1033" s="140">
        <f t="shared" si="251"/>
        <v>-3.4808811429325281E-3</v>
      </c>
      <c r="V1033" s="322">
        <f t="shared" ref="V1033:V1086" si="260">IF(O1033="","",Q1033-O1033)</f>
        <v>5000000</v>
      </c>
      <c r="W1033" s="140" t="str">
        <f t="shared" si="252"/>
        <v/>
      </c>
      <c r="X1033" s="322">
        <f t="shared" si="253"/>
        <v>-68080.480000000447</v>
      </c>
      <c r="Y1033" s="140">
        <f t="shared" si="254"/>
        <v>-1.3433188416929094E-2</v>
      </c>
      <c r="Z1033" s="519">
        <v>3801060.3600000003</v>
      </c>
      <c r="AA1033" s="111">
        <f t="shared" ref="AA1033:AA1086" si="261">Z1033/3*4</f>
        <v>5068080.4800000004</v>
      </c>
      <c r="AB1033" s="111">
        <f t="shared" ref="AB1033:AB1086" si="262">P1033-AA1033</f>
        <v>0</v>
      </c>
    </row>
    <row r="1034" spans="1:28" ht="36.75" customHeight="1">
      <c r="A1034" s="114" t="s">
        <v>2463</v>
      </c>
      <c r="B1034" s="125" t="s">
        <v>734</v>
      </c>
      <c r="C1034" s="97" t="s">
        <v>3186</v>
      </c>
      <c r="D1034" s="97" t="s">
        <v>1379</v>
      </c>
      <c r="E1034" s="540" t="s">
        <v>2464</v>
      </c>
      <c r="F1034" s="559" t="s">
        <v>2465</v>
      </c>
      <c r="G1034" s="555" t="s">
        <v>1632</v>
      </c>
      <c r="H1034" s="512" t="s">
        <v>5198</v>
      </c>
      <c r="I1034" s="556" t="s">
        <v>3241</v>
      </c>
      <c r="J1034" s="557" t="s">
        <v>740</v>
      </c>
      <c r="K1034" s="558" t="s">
        <v>745</v>
      </c>
      <c r="L1034" s="95"/>
      <c r="M1034" s="104"/>
      <c r="N1034" s="137">
        <v>927135.81</v>
      </c>
      <c r="O1034" s="138">
        <v>0</v>
      </c>
      <c r="P1034" s="138">
        <v>327.75</v>
      </c>
      <c r="Q1034" s="138">
        <v>0</v>
      </c>
      <c r="R1034" s="138">
        <v>0</v>
      </c>
      <c r="S1034" s="139">
        <v>0</v>
      </c>
      <c r="T1034" s="322">
        <f t="shared" si="250"/>
        <v>-927135.81</v>
      </c>
      <c r="U1034" s="140">
        <f t="shared" si="251"/>
        <v>-1</v>
      </c>
      <c r="V1034" s="322">
        <f t="shared" si="260"/>
        <v>0</v>
      </c>
      <c r="W1034" s="140" t="str">
        <f t="shared" si="252"/>
        <v/>
      </c>
      <c r="X1034" s="322">
        <f t="shared" si="253"/>
        <v>-327.75</v>
      </c>
      <c r="Y1034" s="140">
        <f t="shared" si="254"/>
        <v>-1</v>
      </c>
      <c r="Z1034" s="519">
        <v>729.19</v>
      </c>
      <c r="AA1034" s="111">
        <f t="shared" si="261"/>
        <v>972.25333333333344</v>
      </c>
      <c r="AB1034" s="111">
        <f t="shared" si="262"/>
        <v>-644.50333333333344</v>
      </c>
    </row>
    <row r="1035" spans="1:28" ht="36.75" customHeight="1">
      <c r="A1035" s="114" t="s">
        <v>3242</v>
      </c>
      <c r="B1035" s="125" t="s">
        <v>734</v>
      </c>
      <c r="C1035" s="97" t="s">
        <v>3186</v>
      </c>
      <c r="D1035" s="97" t="s">
        <v>2467</v>
      </c>
      <c r="E1035" s="540" t="s">
        <v>3243</v>
      </c>
      <c r="F1035" s="559" t="s">
        <v>3244</v>
      </c>
      <c r="G1035" s="555" t="s">
        <v>1633</v>
      </c>
      <c r="H1035" s="512" t="s">
        <v>5199</v>
      </c>
      <c r="I1035" s="556" t="s">
        <v>3245</v>
      </c>
      <c r="J1035" s="557" t="s">
        <v>740</v>
      </c>
      <c r="K1035" s="558" t="s">
        <v>745</v>
      </c>
      <c r="L1035" s="95"/>
      <c r="M1035" s="104"/>
      <c r="N1035" s="137">
        <v>809.85</v>
      </c>
      <c r="O1035" s="138">
        <v>0</v>
      </c>
      <c r="P1035" s="138">
        <v>459.69</v>
      </c>
      <c r="Q1035" s="138">
        <v>0</v>
      </c>
      <c r="R1035" s="138">
        <v>0</v>
      </c>
      <c r="S1035" s="139">
        <v>0</v>
      </c>
      <c r="T1035" s="322">
        <f t="shared" si="250"/>
        <v>-809.85</v>
      </c>
      <c r="U1035" s="140">
        <f t="shared" si="251"/>
        <v>-1</v>
      </c>
      <c r="V1035" s="322">
        <f t="shared" si="260"/>
        <v>0</v>
      </c>
      <c r="W1035" s="140" t="str">
        <f t="shared" si="252"/>
        <v/>
      </c>
      <c r="X1035" s="322">
        <f t="shared" si="253"/>
        <v>-459.69</v>
      </c>
      <c r="Y1035" s="140">
        <f t="shared" si="254"/>
        <v>-1</v>
      </c>
      <c r="Z1035" s="519">
        <v>580.97</v>
      </c>
      <c r="AA1035" s="111">
        <f t="shared" si="261"/>
        <v>774.62666666666667</v>
      </c>
      <c r="AB1035" s="111">
        <f t="shared" si="262"/>
        <v>-314.93666666666667</v>
      </c>
    </row>
    <row r="1036" spans="1:28" ht="36.75" customHeight="1">
      <c r="A1036" s="114" t="s">
        <v>3246</v>
      </c>
      <c r="B1036" s="125" t="s">
        <v>734</v>
      </c>
      <c r="C1036" s="97" t="s">
        <v>3186</v>
      </c>
      <c r="D1036" s="97" t="s">
        <v>2138</v>
      </c>
      <c r="E1036" s="540" t="s">
        <v>3247</v>
      </c>
      <c r="F1036" s="559" t="s">
        <v>5597</v>
      </c>
      <c r="G1036" s="555" t="s">
        <v>1634</v>
      </c>
      <c r="H1036" s="512" t="s">
        <v>5200</v>
      </c>
      <c r="I1036" s="556" t="s">
        <v>3248</v>
      </c>
      <c r="J1036" s="557" t="s">
        <v>740</v>
      </c>
      <c r="K1036" s="558" t="s">
        <v>745</v>
      </c>
      <c r="L1036" s="95"/>
      <c r="M1036" s="104"/>
      <c r="N1036" s="137">
        <v>16.16</v>
      </c>
      <c r="O1036" s="138">
        <v>0</v>
      </c>
      <c r="P1036" s="138">
        <v>2045.08</v>
      </c>
      <c r="Q1036" s="138">
        <v>0</v>
      </c>
      <c r="R1036" s="138">
        <v>0</v>
      </c>
      <c r="S1036" s="139">
        <v>0</v>
      </c>
      <c r="T1036" s="322">
        <f t="shared" si="250"/>
        <v>-16.16</v>
      </c>
      <c r="U1036" s="140">
        <f t="shared" si="251"/>
        <v>-1</v>
      </c>
      <c r="V1036" s="322">
        <f t="shared" si="260"/>
        <v>0</v>
      </c>
      <c r="W1036" s="140" t="str">
        <f t="shared" si="252"/>
        <v/>
      </c>
      <c r="X1036" s="322">
        <f t="shared" si="253"/>
        <v>-2045.08</v>
      </c>
      <c r="Y1036" s="140">
        <f t="shared" si="254"/>
        <v>-1</v>
      </c>
      <c r="Z1036" s="519">
        <v>2045.08</v>
      </c>
      <c r="AA1036" s="111">
        <f t="shared" si="261"/>
        <v>2726.7733333333331</v>
      </c>
      <c r="AB1036" s="111">
        <f t="shared" si="262"/>
        <v>-681.69333333333316</v>
      </c>
    </row>
    <row r="1037" spans="1:28" ht="36.75" customHeight="1">
      <c r="A1037" s="114" t="s">
        <v>3249</v>
      </c>
      <c r="B1037" s="125" t="s">
        <v>734</v>
      </c>
      <c r="C1037" s="97" t="s">
        <v>3186</v>
      </c>
      <c r="D1037" s="97" t="s">
        <v>2468</v>
      </c>
      <c r="E1037" s="540" t="s">
        <v>3250</v>
      </c>
      <c r="F1037" s="559" t="s">
        <v>3251</v>
      </c>
      <c r="G1037" s="555" t="s">
        <v>1635</v>
      </c>
      <c r="H1037" s="512" t="s">
        <v>5201</v>
      </c>
      <c r="I1037" s="556" t="s">
        <v>3252</v>
      </c>
      <c r="J1037" s="557" t="s">
        <v>740</v>
      </c>
      <c r="K1037" s="558" t="s">
        <v>745</v>
      </c>
      <c r="L1037" s="95"/>
      <c r="M1037" s="104"/>
      <c r="N1037" s="137">
        <v>1605175.91</v>
      </c>
      <c r="O1037" s="138">
        <v>0</v>
      </c>
      <c r="P1037" s="138">
        <v>726887.03</v>
      </c>
      <c r="Q1037" s="138">
        <v>0</v>
      </c>
      <c r="R1037" s="138">
        <v>0</v>
      </c>
      <c r="S1037" s="139">
        <v>0</v>
      </c>
      <c r="T1037" s="322">
        <f t="shared" si="250"/>
        <v>-1605175.91</v>
      </c>
      <c r="U1037" s="140">
        <f t="shared" si="251"/>
        <v>-1</v>
      </c>
      <c r="V1037" s="322">
        <f t="shared" si="260"/>
        <v>0</v>
      </c>
      <c r="W1037" s="140" t="str">
        <f t="shared" si="252"/>
        <v/>
      </c>
      <c r="X1037" s="322">
        <f t="shared" si="253"/>
        <v>-726887.03</v>
      </c>
      <c r="Y1037" s="140">
        <f t="shared" si="254"/>
        <v>-1</v>
      </c>
      <c r="Z1037" s="519">
        <v>883244.91</v>
      </c>
      <c r="AA1037" s="111">
        <f t="shared" si="261"/>
        <v>1177659.8800000001</v>
      </c>
      <c r="AB1037" s="111">
        <f t="shared" si="262"/>
        <v>-450772.85000000009</v>
      </c>
    </row>
    <row r="1038" spans="1:28" ht="18.75" customHeight="1">
      <c r="A1038" s="114" t="s">
        <v>3253</v>
      </c>
      <c r="B1038" s="125" t="s">
        <v>734</v>
      </c>
      <c r="C1038" s="97" t="s">
        <v>3186</v>
      </c>
      <c r="D1038" s="97" t="s">
        <v>2470</v>
      </c>
      <c r="E1038" s="540" t="s">
        <v>3254</v>
      </c>
      <c r="F1038" s="540" t="s">
        <v>3255</v>
      </c>
      <c r="G1038" s="555" t="s">
        <v>1636</v>
      </c>
      <c r="H1038" s="512" t="s">
        <v>5202</v>
      </c>
      <c r="I1038" s="556" t="s">
        <v>738</v>
      </c>
      <c r="J1038" s="557" t="s">
        <v>740</v>
      </c>
      <c r="K1038" s="558" t="s">
        <v>745</v>
      </c>
      <c r="L1038" s="95"/>
      <c r="M1038" s="104"/>
      <c r="N1038" s="137">
        <v>2516079.7000000002</v>
      </c>
      <c r="O1038" s="138">
        <v>0</v>
      </c>
      <c r="P1038" s="138">
        <v>1629165.3900000001</v>
      </c>
      <c r="Q1038" s="138">
        <v>0</v>
      </c>
      <c r="R1038" s="138">
        <v>0</v>
      </c>
      <c r="S1038" s="139">
        <v>0</v>
      </c>
      <c r="T1038" s="322">
        <f t="shared" si="250"/>
        <v>-2516079.7000000002</v>
      </c>
      <c r="U1038" s="140">
        <f t="shared" si="251"/>
        <v>-1</v>
      </c>
      <c r="V1038" s="322">
        <f t="shared" si="260"/>
        <v>0</v>
      </c>
      <c r="W1038" s="140" t="str">
        <f t="shared" si="252"/>
        <v/>
      </c>
      <c r="X1038" s="322">
        <f t="shared" si="253"/>
        <v>-1629165.3900000001</v>
      </c>
      <c r="Y1038" s="140">
        <f t="shared" si="254"/>
        <v>-1</v>
      </c>
      <c r="Z1038" s="519">
        <v>520248</v>
      </c>
      <c r="AA1038" s="111">
        <f t="shared" si="261"/>
        <v>693664</v>
      </c>
      <c r="AB1038" s="111">
        <f t="shared" si="262"/>
        <v>935501.39000000013</v>
      </c>
    </row>
    <row r="1039" spans="1:28" ht="18.75" customHeight="1">
      <c r="A1039" s="114" t="s">
        <v>741</v>
      </c>
      <c r="B1039" s="125" t="s">
        <v>734</v>
      </c>
      <c r="C1039" s="97" t="s">
        <v>3186</v>
      </c>
      <c r="D1039" s="97" t="s">
        <v>3193</v>
      </c>
      <c r="E1039" s="540" t="s">
        <v>743</v>
      </c>
      <c r="F1039" s="540" t="s">
        <v>742</v>
      </c>
      <c r="G1039" s="555" t="s">
        <v>423</v>
      </c>
      <c r="H1039" s="555" t="s">
        <v>744</v>
      </c>
      <c r="I1039" s="556" t="s">
        <v>745</v>
      </c>
      <c r="J1039" s="557" t="s">
        <v>740</v>
      </c>
      <c r="K1039" s="558" t="s">
        <v>745</v>
      </c>
      <c r="L1039" s="95"/>
      <c r="M1039" s="104"/>
      <c r="N1039" s="137">
        <v>224.95</v>
      </c>
      <c r="O1039" s="138">
        <v>0</v>
      </c>
      <c r="P1039" s="138">
        <v>96.52</v>
      </c>
      <c r="Q1039" s="138">
        <v>0</v>
      </c>
      <c r="R1039" s="138">
        <v>0</v>
      </c>
      <c r="S1039" s="139">
        <v>0</v>
      </c>
      <c r="T1039" s="322">
        <f t="shared" si="250"/>
        <v>-224.95</v>
      </c>
      <c r="U1039" s="140">
        <f t="shared" si="251"/>
        <v>-1</v>
      </c>
      <c r="V1039" s="322">
        <f t="shared" si="260"/>
        <v>0</v>
      </c>
      <c r="W1039" s="140" t="str">
        <f t="shared" si="252"/>
        <v/>
      </c>
      <c r="X1039" s="322">
        <f t="shared" si="253"/>
        <v>-96.52</v>
      </c>
      <c r="Y1039" s="140">
        <f t="shared" si="254"/>
        <v>-1</v>
      </c>
      <c r="Z1039" s="519">
        <v>106.65</v>
      </c>
      <c r="AA1039" s="111">
        <f t="shared" si="261"/>
        <v>142.20000000000002</v>
      </c>
      <c r="AB1039" s="111">
        <f t="shared" si="262"/>
        <v>-45.680000000000021</v>
      </c>
    </row>
    <row r="1040" spans="1:28" ht="18.75" customHeight="1">
      <c r="A1040" s="114" t="s">
        <v>746</v>
      </c>
      <c r="B1040" s="125" t="s">
        <v>734</v>
      </c>
      <c r="C1040" s="97" t="s">
        <v>3186</v>
      </c>
      <c r="D1040" s="97" t="s">
        <v>2631</v>
      </c>
      <c r="E1040" s="540" t="s">
        <v>747</v>
      </c>
      <c r="F1040" s="540" t="s">
        <v>1781</v>
      </c>
      <c r="G1040" s="555" t="s">
        <v>423</v>
      </c>
      <c r="H1040" s="555" t="s">
        <v>744</v>
      </c>
      <c r="I1040" s="556" t="s">
        <v>745</v>
      </c>
      <c r="J1040" s="557" t="s">
        <v>740</v>
      </c>
      <c r="K1040" s="558" t="s">
        <v>745</v>
      </c>
      <c r="L1040" s="95"/>
      <c r="M1040" s="104"/>
      <c r="N1040" s="137">
        <v>14080.71</v>
      </c>
      <c r="O1040" s="138">
        <v>0</v>
      </c>
      <c r="P1040" s="138">
        <v>7816.76</v>
      </c>
      <c r="Q1040" s="138">
        <v>0</v>
      </c>
      <c r="R1040" s="138">
        <v>0</v>
      </c>
      <c r="S1040" s="139">
        <v>0</v>
      </c>
      <c r="T1040" s="322">
        <f t="shared" si="250"/>
        <v>-14080.71</v>
      </c>
      <c r="U1040" s="140">
        <f t="shared" si="251"/>
        <v>-1</v>
      </c>
      <c r="V1040" s="322">
        <f t="shared" si="260"/>
        <v>0</v>
      </c>
      <c r="W1040" s="140" t="str">
        <f t="shared" si="252"/>
        <v/>
      </c>
      <c r="X1040" s="322">
        <f t="shared" si="253"/>
        <v>-7816.76</v>
      </c>
      <c r="Y1040" s="140">
        <f t="shared" si="254"/>
        <v>-1</v>
      </c>
      <c r="Z1040" s="519">
        <v>7817.8</v>
      </c>
      <c r="AA1040" s="111">
        <f t="shared" si="261"/>
        <v>10423.733333333334</v>
      </c>
      <c r="AB1040" s="111">
        <f t="shared" si="262"/>
        <v>-2606.9733333333334</v>
      </c>
    </row>
    <row r="1041" spans="1:28" ht="18.75" customHeight="1">
      <c r="A1041" s="115" t="s">
        <v>748</v>
      </c>
      <c r="B1041" s="124" t="s">
        <v>734</v>
      </c>
      <c r="C1041" s="101" t="s">
        <v>3187</v>
      </c>
      <c r="D1041" s="101" t="s">
        <v>3185</v>
      </c>
      <c r="E1041" s="534" t="s">
        <v>750</v>
      </c>
      <c r="F1041" s="534" t="s">
        <v>749</v>
      </c>
      <c r="G1041" s="555"/>
      <c r="H1041" s="555"/>
      <c r="I1041" s="556"/>
      <c r="J1041" s="557"/>
      <c r="K1041" s="558"/>
      <c r="L1041" s="95"/>
      <c r="M1041" s="104"/>
      <c r="N1041" s="137">
        <v>0</v>
      </c>
      <c r="O1041" s="138">
        <v>0</v>
      </c>
      <c r="P1041" s="138">
        <v>0</v>
      </c>
      <c r="Q1041" s="138">
        <v>0</v>
      </c>
      <c r="R1041" s="138">
        <v>0</v>
      </c>
      <c r="S1041" s="139">
        <v>0</v>
      </c>
      <c r="T1041" s="322">
        <f t="shared" si="250"/>
        <v>0</v>
      </c>
      <c r="U1041" s="140" t="str">
        <f t="shared" si="251"/>
        <v/>
      </c>
      <c r="V1041" s="322">
        <f t="shared" si="260"/>
        <v>0</v>
      </c>
      <c r="W1041" s="140" t="str">
        <f t="shared" si="252"/>
        <v/>
      </c>
      <c r="X1041" s="322">
        <f t="shared" si="253"/>
        <v>0</v>
      </c>
      <c r="Y1041" s="140" t="str">
        <f t="shared" si="254"/>
        <v/>
      </c>
      <c r="Z1041" s="519">
        <v>0</v>
      </c>
      <c r="AA1041" s="111">
        <f t="shared" si="261"/>
        <v>0</v>
      </c>
      <c r="AB1041" s="111">
        <f t="shared" si="262"/>
        <v>0</v>
      </c>
    </row>
    <row r="1042" spans="1:28" ht="22.5">
      <c r="A1042" s="114" t="s">
        <v>3256</v>
      </c>
      <c r="B1042" s="125" t="s">
        <v>734</v>
      </c>
      <c r="C1042" s="97" t="s">
        <v>3187</v>
      </c>
      <c r="D1042" s="97" t="s">
        <v>2833</v>
      </c>
      <c r="E1042" s="540" t="s">
        <v>4424</v>
      </c>
      <c r="F1042" s="540" t="s">
        <v>5598</v>
      </c>
      <c r="G1042" s="555" t="s">
        <v>1643</v>
      </c>
      <c r="H1042" s="555" t="s">
        <v>3257</v>
      </c>
      <c r="I1042" s="556" t="s">
        <v>3258</v>
      </c>
      <c r="J1042" s="557" t="s">
        <v>740</v>
      </c>
      <c r="K1042" s="558" t="s">
        <v>745</v>
      </c>
      <c r="L1042" s="95"/>
      <c r="M1042" s="104"/>
      <c r="N1042" s="137">
        <v>0</v>
      </c>
      <c r="O1042" s="138">
        <v>0</v>
      </c>
      <c r="P1042" s="138">
        <v>0</v>
      </c>
      <c r="Q1042" s="138">
        <v>0</v>
      </c>
      <c r="R1042" s="138">
        <v>0</v>
      </c>
      <c r="S1042" s="139">
        <v>0</v>
      </c>
      <c r="T1042" s="322">
        <f t="shared" si="250"/>
        <v>0</v>
      </c>
      <c r="U1042" s="140" t="str">
        <f t="shared" si="251"/>
        <v/>
      </c>
      <c r="V1042" s="322">
        <f t="shared" si="260"/>
        <v>0</v>
      </c>
      <c r="W1042" s="140" t="str">
        <f t="shared" si="252"/>
        <v/>
      </c>
      <c r="X1042" s="322">
        <f t="shared" si="253"/>
        <v>0</v>
      </c>
      <c r="Y1042" s="140" t="str">
        <f t="shared" si="254"/>
        <v/>
      </c>
      <c r="Z1042" s="519">
        <v>0</v>
      </c>
      <c r="AA1042" s="111">
        <f t="shared" si="261"/>
        <v>0</v>
      </c>
      <c r="AB1042" s="111">
        <f t="shared" si="262"/>
        <v>0</v>
      </c>
    </row>
    <row r="1043" spans="1:28" ht="22.5">
      <c r="A1043" s="114" t="s">
        <v>3259</v>
      </c>
      <c r="B1043" s="125" t="s">
        <v>734</v>
      </c>
      <c r="C1043" s="97" t="s">
        <v>3187</v>
      </c>
      <c r="D1043" s="97" t="s">
        <v>1378</v>
      </c>
      <c r="E1043" s="540" t="s">
        <v>3260</v>
      </c>
      <c r="F1043" s="540" t="s">
        <v>3261</v>
      </c>
      <c r="G1043" s="555" t="s">
        <v>1645</v>
      </c>
      <c r="H1043" s="555" t="s">
        <v>3262</v>
      </c>
      <c r="I1043" s="556" t="s">
        <v>3263</v>
      </c>
      <c r="J1043" s="557" t="s">
        <v>740</v>
      </c>
      <c r="K1043" s="558" t="s">
        <v>745</v>
      </c>
      <c r="L1043" s="95"/>
      <c r="M1043" s="104"/>
      <c r="N1043" s="137">
        <v>180477.08</v>
      </c>
      <c r="O1043" s="138">
        <v>0</v>
      </c>
      <c r="P1043" s="138">
        <v>0</v>
      </c>
      <c r="Q1043" s="138">
        <v>0</v>
      </c>
      <c r="R1043" s="138">
        <v>0</v>
      </c>
      <c r="S1043" s="139">
        <v>0</v>
      </c>
      <c r="T1043" s="322">
        <f t="shared" si="250"/>
        <v>-180477.08</v>
      </c>
      <c r="U1043" s="140">
        <f t="shared" si="251"/>
        <v>-1</v>
      </c>
      <c r="V1043" s="322">
        <f t="shared" si="260"/>
        <v>0</v>
      </c>
      <c r="W1043" s="140" t="str">
        <f t="shared" si="252"/>
        <v/>
      </c>
      <c r="X1043" s="322">
        <f t="shared" si="253"/>
        <v>0</v>
      </c>
      <c r="Y1043" s="140" t="str">
        <f t="shared" si="254"/>
        <v/>
      </c>
      <c r="Z1043" s="519">
        <v>0</v>
      </c>
      <c r="AA1043" s="111">
        <f t="shared" si="261"/>
        <v>0</v>
      </c>
      <c r="AB1043" s="111">
        <f t="shared" si="262"/>
        <v>0</v>
      </c>
    </row>
    <row r="1044" spans="1:28" ht="26.25" customHeight="1">
      <c r="A1044" s="114" t="s">
        <v>3264</v>
      </c>
      <c r="B1044" s="125" t="s">
        <v>734</v>
      </c>
      <c r="C1044" s="97" t="s">
        <v>3187</v>
      </c>
      <c r="D1044" s="97" t="s">
        <v>1379</v>
      </c>
      <c r="E1044" s="540" t="s">
        <v>3265</v>
      </c>
      <c r="F1044" s="540" t="s">
        <v>3266</v>
      </c>
      <c r="G1044" s="555" t="s">
        <v>413</v>
      </c>
      <c r="H1044" s="555" t="s">
        <v>3267</v>
      </c>
      <c r="I1044" s="556" t="s">
        <v>3268</v>
      </c>
      <c r="J1044" s="557" t="s">
        <v>740</v>
      </c>
      <c r="K1044" s="558" t="s">
        <v>745</v>
      </c>
      <c r="L1044" s="95"/>
      <c r="M1044" s="104"/>
      <c r="N1044" s="137">
        <v>885.41</v>
      </c>
      <c r="O1044" s="138">
        <v>0</v>
      </c>
      <c r="P1044" s="138">
        <v>591.54</v>
      </c>
      <c r="Q1044" s="138">
        <v>0</v>
      </c>
      <c r="R1044" s="138">
        <v>0</v>
      </c>
      <c r="S1044" s="139">
        <v>0</v>
      </c>
      <c r="T1044" s="322">
        <f t="shared" si="250"/>
        <v>-885.41</v>
      </c>
      <c r="U1044" s="140">
        <f t="shared" si="251"/>
        <v>-1</v>
      </c>
      <c r="V1044" s="322">
        <f t="shared" si="260"/>
        <v>0</v>
      </c>
      <c r="W1044" s="140" t="str">
        <f t="shared" si="252"/>
        <v/>
      </c>
      <c r="X1044" s="322">
        <f t="shared" si="253"/>
        <v>-591.54</v>
      </c>
      <c r="Y1044" s="140">
        <f t="shared" si="254"/>
        <v>-1</v>
      </c>
      <c r="Z1044" s="519">
        <v>674.31</v>
      </c>
      <c r="AA1044" s="111">
        <f t="shared" si="261"/>
        <v>899.07999999999993</v>
      </c>
      <c r="AB1044" s="111">
        <f t="shared" si="262"/>
        <v>-307.53999999999996</v>
      </c>
    </row>
    <row r="1045" spans="1:28" ht="26.25" customHeight="1">
      <c r="A1045" s="114" t="s">
        <v>3269</v>
      </c>
      <c r="B1045" s="125" t="s">
        <v>734</v>
      </c>
      <c r="C1045" s="97" t="s">
        <v>3187</v>
      </c>
      <c r="D1045" s="97" t="s">
        <v>2467</v>
      </c>
      <c r="E1045" s="540" t="s">
        <v>3270</v>
      </c>
      <c r="F1045" s="540" t="s">
        <v>3271</v>
      </c>
      <c r="G1045" s="555" t="s">
        <v>415</v>
      </c>
      <c r="H1045" s="555" t="s">
        <v>3272</v>
      </c>
      <c r="I1045" s="556" t="s">
        <v>3273</v>
      </c>
      <c r="J1045" s="557" t="s">
        <v>740</v>
      </c>
      <c r="K1045" s="558" t="s">
        <v>745</v>
      </c>
      <c r="L1045" s="95"/>
      <c r="M1045" s="104"/>
      <c r="N1045" s="137">
        <v>0</v>
      </c>
      <c r="O1045" s="138">
        <v>0</v>
      </c>
      <c r="P1045" s="138">
        <v>0</v>
      </c>
      <c r="Q1045" s="138">
        <v>0</v>
      </c>
      <c r="R1045" s="138">
        <v>0</v>
      </c>
      <c r="S1045" s="139">
        <v>0</v>
      </c>
      <c r="T1045" s="322">
        <f t="shared" si="250"/>
        <v>0</v>
      </c>
      <c r="U1045" s="140" t="str">
        <f t="shared" si="251"/>
        <v/>
      </c>
      <c r="V1045" s="322">
        <f t="shared" si="260"/>
        <v>0</v>
      </c>
      <c r="W1045" s="140" t="str">
        <f t="shared" si="252"/>
        <v/>
      </c>
      <c r="X1045" s="322">
        <f t="shared" si="253"/>
        <v>0</v>
      </c>
      <c r="Y1045" s="140" t="str">
        <f t="shared" si="254"/>
        <v/>
      </c>
      <c r="Z1045" s="519">
        <v>0</v>
      </c>
      <c r="AA1045" s="111">
        <f t="shared" si="261"/>
        <v>0</v>
      </c>
      <c r="AB1045" s="111">
        <f t="shared" si="262"/>
        <v>0</v>
      </c>
    </row>
    <row r="1046" spans="1:28" ht="37.5" customHeight="1">
      <c r="A1046" s="114" t="s">
        <v>3274</v>
      </c>
      <c r="B1046" s="125" t="s">
        <v>734</v>
      </c>
      <c r="C1046" s="97" t="s">
        <v>3187</v>
      </c>
      <c r="D1046" s="97" t="s">
        <v>2138</v>
      </c>
      <c r="E1046" s="540" t="s">
        <v>3275</v>
      </c>
      <c r="F1046" s="540" t="s">
        <v>5599</v>
      </c>
      <c r="G1046" s="555" t="s">
        <v>417</v>
      </c>
      <c r="H1046" s="555" t="s">
        <v>3276</v>
      </c>
      <c r="I1046" s="556" t="s">
        <v>3277</v>
      </c>
      <c r="J1046" s="557" t="s">
        <v>740</v>
      </c>
      <c r="K1046" s="558" t="s">
        <v>745</v>
      </c>
      <c r="L1046" s="95"/>
      <c r="M1046" s="104"/>
      <c r="N1046" s="137">
        <v>0</v>
      </c>
      <c r="O1046" s="138">
        <v>0</v>
      </c>
      <c r="P1046" s="138">
        <v>0</v>
      </c>
      <c r="Q1046" s="138">
        <v>0</v>
      </c>
      <c r="R1046" s="138">
        <v>0</v>
      </c>
      <c r="S1046" s="139">
        <v>0</v>
      </c>
      <c r="T1046" s="322">
        <f t="shared" si="250"/>
        <v>0</v>
      </c>
      <c r="U1046" s="140" t="str">
        <f t="shared" si="251"/>
        <v/>
      </c>
      <c r="V1046" s="322">
        <f t="shared" si="260"/>
        <v>0</v>
      </c>
      <c r="W1046" s="140" t="str">
        <f t="shared" si="252"/>
        <v/>
      </c>
      <c r="X1046" s="322">
        <f t="shared" si="253"/>
        <v>0</v>
      </c>
      <c r="Y1046" s="140" t="str">
        <f t="shared" si="254"/>
        <v/>
      </c>
      <c r="Z1046" s="519">
        <v>0</v>
      </c>
      <c r="AA1046" s="111">
        <f t="shared" si="261"/>
        <v>0</v>
      </c>
      <c r="AB1046" s="111">
        <f t="shared" si="262"/>
        <v>0</v>
      </c>
    </row>
    <row r="1047" spans="1:28" ht="26.25" customHeight="1">
      <c r="A1047" s="114" t="s">
        <v>3278</v>
      </c>
      <c r="B1047" s="125" t="s">
        <v>734</v>
      </c>
      <c r="C1047" s="97" t="s">
        <v>3187</v>
      </c>
      <c r="D1047" s="97" t="s">
        <v>2468</v>
      </c>
      <c r="E1047" s="540" t="s">
        <v>3279</v>
      </c>
      <c r="F1047" s="540" t="s">
        <v>3280</v>
      </c>
      <c r="G1047" s="555" t="s">
        <v>419</v>
      </c>
      <c r="H1047" s="555" t="s">
        <v>3703</v>
      </c>
      <c r="I1047" s="556" t="s">
        <v>3704</v>
      </c>
      <c r="J1047" s="557" t="s">
        <v>740</v>
      </c>
      <c r="K1047" s="558" t="s">
        <v>745</v>
      </c>
      <c r="L1047" s="95"/>
      <c r="M1047" s="104"/>
      <c r="N1047" s="137">
        <v>39718.870000000003</v>
      </c>
      <c r="O1047" s="138">
        <v>0</v>
      </c>
      <c r="P1047" s="138">
        <v>4483</v>
      </c>
      <c r="Q1047" s="138">
        <v>0</v>
      </c>
      <c r="R1047" s="138">
        <v>0</v>
      </c>
      <c r="S1047" s="139">
        <v>0</v>
      </c>
      <c r="T1047" s="322">
        <f t="shared" si="250"/>
        <v>-39718.870000000003</v>
      </c>
      <c r="U1047" s="140">
        <f t="shared" si="251"/>
        <v>-1</v>
      </c>
      <c r="V1047" s="322">
        <f t="shared" si="260"/>
        <v>0</v>
      </c>
      <c r="W1047" s="140" t="str">
        <f t="shared" si="252"/>
        <v/>
      </c>
      <c r="X1047" s="322">
        <f t="shared" si="253"/>
        <v>-4483</v>
      </c>
      <c r="Y1047" s="140">
        <f t="shared" si="254"/>
        <v>-1</v>
      </c>
      <c r="Z1047" s="519">
        <v>4483.01</v>
      </c>
      <c r="AA1047" s="111">
        <f t="shared" si="261"/>
        <v>5977.3466666666673</v>
      </c>
      <c r="AB1047" s="111">
        <f t="shared" si="262"/>
        <v>-1494.3466666666673</v>
      </c>
    </row>
    <row r="1048" spans="1:28" ht="18.75" customHeight="1">
      <c r="A1048" s="114" t="s">
        <v>3705</v>
      </c>
      <c r="B1048" s="125" t="s">
        <v>734</v>
      </c>
      <c r="C1048" s="97" t="s">
        <v>3187</v>
      </c>
      <c r="D1048" s="97" t="s">
        <v>2470</v>
      </c>
      <c r="E1048" s="540" t="s">
        <v>3706</v>
      </c>
      <c r="F1048" s="540" t="s">
        <v>3707</v>
      </c>
      <c r="G1048" s="555" t="s">
        <v>421</v>
      </c>
      <c r="H1048" s="555" t="s">
        <v>751</v>
      </c>
      <c r="I1048" s="556" t="s">
        <v>752</v>
      </c>
      <c r="J1048" s="557" t="s">
        <v>740</v>
      </c>
      <c r="K1048" s="558" t="s">
        <v>745</v>
      </c>
      <c r="L1048" s="95"/>
      <c r="M1048" s="104"/>
      <c r="N1048" s="137">
        <v>779554.5</v>
      </c>
      <c r="O1048" s="138">
        <v>0</v>
      </c>
      <c r="P1048" s="138">
        <v>18521.64</v>
      </c>
      <c r="Q1048" s="138">
        <v>0</v>
      </c>
      <c r="R1048" s="138">
        <v>0</v>
      </c>
      <c r="S1048" s="139">
        <v>0</v>
      </c>
      <c r="T1048" s="322">
        <f t="shared" ref="T1048" si="263">IF(N1048="","",Q1048-N1048)</f>
        <v>-779554.5</v>
      </c>
      <c r="U1048" s="140">
        <f t="shared" ref="U1048" si="264">IF(N1048=0,"",T1048/N1048)</f>
        <v>-1</v>
      </c>
      <c r="V1048" s="322">
        <f t="shared" si="260"/>
        <v>0</v>
      </c>
      <c r="W1048" s="140" t="str">
        <f t="shared" ref="W1048" si="265">IF(O1048=0,"",V1048/O1048)</f>
        <v/>
      </c>
      <c r="X1048" s="322">
        <f t="shared" ref="X1048" si="266">IF(P1048="","",Q1048-P1048)</f>
        <v>-18521.64</v>
      </c>
      <c r="Y1048" s="140">
        <f t="shared" ref="Y1048" si="267">IF(P1048=0,"",X1048/P1048)</f>
        <v>-1</v>
      </c>
      <c r="Z1048" s="519">
        <v>19597.8</v>
      </c>
      <c r="AA1048" s="111">
        <f t="shared" si="261"/>
        <v>26130.399999999998</v>
      </c>
      <c r="AB1048" s="111">
        <f t="shared" si="262"/>
        <v>-7608.7599999999984</v>
      </c>
    </row>
    <row r="1049" spans="1:28" ht="24" customHeight="1">
      <c r="A1049" s="114" t="s">
        <v>4646</v>
      </c>
      <c r="B1049" s="125" t="s">
        <v>734</v>
      </c>
      <c r="C1049" s="97" t="s">
        <v>3187</v>
      </c>
      <c r="D1049" s="97" t="s">
        <v>2472</v>
      </c>
      <c r="E1049" s="540" t="s">
        <v>4647</v>
      </c>
      <c r="F1049" s="540" t="s">
        <v>4648</v>
      </c>
      <c r="G1049" s="555" t="s">
        <v>1645</v>
      </c>
      <c r="H1049" s="555" t="s">
        <v>3262</v>
      </c>
      <c r="I1049" s="556" t="s">
        <v>752</v>
      </c>
      <c r="J1049" s="557" t="s">
        <v>740</v>
      </c>
      <c r="K1049" s="558" t="s">
        <v>745</v>
      </c>
      <c r="L1049" s="95"/>
      <c r="M1049" s="104"/>
      <c r="N1049" s="137">
        <v>0</v>
      </c>
      <c r="O1049" s="138">
        <v>0</v>
      </c>
      <c r="P1049" s="138">
        <v>0</v>
      </c>
      <c r="Q1049" s="138">
        <v>0</v>
      </c>
      <c r="R1049" s="138">
        <v>0</v>
      </c>
      <c r="S1049" s="139">
        <v>0</v>
      </c>
      <c r="T1049" s="322">
        <f t="shared" si="250"/>
        <v>0</v>
      </c>
      <c r="U1049" s="140" t="str">
        <f t="shared" si="251"/>
        <v/>
      </c>
      <c r="V1049" s="322">
        <f t="shared" si="260"/>
        <v>0</v>
      </c>
      <c r="W1049" s="140" t="str">
        <f t="shared" si="252"/>
        <v/>
      </c>
      <c r="X1049" s="322">
        <f t="shared" si="253"/>
        <v>0</v>
      </c>
      <c r="Y1049" s="140" t="str">
        <f t="shared" si="254"/>
        <v/>
      </c>
      <c r="Z1049" s="519">
        <v>0</v>
      </c>
      <c r="AA1049" s="111">
        <f t="shared" si="261"/>
        <v>0</v>
      </c>
      <c r="AB1049" s="111">
        <f t="shared" si="262"/>
        <v>0</v>
      </c>
    </row>
    <row r="1050" spans="1:28" ht="18.75" customHeight="1">
      <c r="A1050" s="115" t="s">
        <v>753</v>
      </c>
      <c r="B1050" s="124" t="s">
        <v>734</v>
      </c>
      <c r="C1050" s="101" t="s">
        <v>3189</v>
      </c>
      <c r="D1050" s="101" t="s">
        <v>3185</v>
      </c>
      <c r="E1050" s="534" t="s">
        <v>755</v>
      </c>
      <c r="F1050" s="534" t="s">
        <v>754</v>
      </c>
      <c r="G1050" s="555"/>
      <c r="H1050" s="555"/>
      <c r="I1050" s="556"/>
      <c r="J1050" s="557"/>
      <c r="K1050" s="558"/>
      <c r="L1050" s="95"/>
      <c r="M1050" s="104"/>
      <c r="N1050" s="137">
        <v>0</v>
      </c>
      <c r="O1050" s="138">
        <v>0</v>
      </c>
      <c r="P1050" s="138">
        <v>0</v>
      </c>
      <c r="Q1050" s="138">
        <v>0</v>
      </c>
      <c r="R1050" s="138">
        <v>0</v>
      </c>
      <c r="S1050" s="139">
        <v>0</v>
      </c>
      <c r="T1050" s="322">
        <f t="shared" si="250"/>
        <v>0</v>
      </c>
      <c r="U1050" s="140" t="str">
        <f t="shared" si="251"/>
        <v/>
      </c>
      <c r="V1050" s="322">
        <f t="shared" si="260"/>
        <v>0</v>
      </c>
      <c r="W1050" s="140" t="str">
        <f t="shared" si="252"/>
        <v/>
      </c>
      <c r="X1050" s="322">
        <f t="shared" si="253"/>
        <v>0</v>
      </c>
      <c r="Y1050" s="140" t="str">
        <f t="shared" si="254"/>
        <v/>
      </c>
      <c r="Z1050" s="519">
        <v>0</v>
      </c>
      <c r="AA1050" s="111">
        <f t="shared" si="261"/>
        <v>0</v>
      </c>
      <c r="AB1050" s="111">
        <f t="shared" si="262"/>
        <v>0</v>
      </c>
    </row>
    <row r="1051" spans="1:28" ht="18.75" customHeight="1">
      <c r="A1051" s="114" t="s">
        <v>756</v>
      </c>
      <c r="B1051" s="125" t="s">
        <v>734</v>
      </c>
      <c r="C1051" s="97" t="s">
        <v>3189</v>
      </c>
      <c r="D1051" s="97" t="s">
        <v>3183</v>
      </c>
      <c r="E1051" s="540" t="s">
        <v>758</v>
      </c>
      <c r="F1051" s="540" t="s">
        <v>757</v>
      </c>
      <c r="G1051" s="555" t="s">
        <v>833</v>
      </c>
      <c r="H1051" s="555" t="s">
        <v>759</v>
      </c>
      <c r="I1051" s="556" t="s">
        <v>760</v>
      </c>
      <c r="J1051" s="557" t="s">
        <v>2912</v>
      </c>
      <c r="K1051" s="558" t="s">
        <v>2913</v>
      </c>
      <c r="L1051" s="95"/>
      <c r="M1051" s="104"/>
      <c r="N1051" s="137">
        <v>0</v>
      </c>
      <c r="O1051" s="138">
        <v>0</v>
      </c>
      <c r="P1051" s="138">
        <v>32.770000000000003</v>
      </c>
      <c r="Q1051" s="138">
        <v>0</v>
      </c>
      <c r="R1051" s="138">
        <v>0</v>
      </c>
      <c r="S1051" s="139">
        <v>0</v>
      </c>
      <c r="T1051" s="322">
        <f t="shared" si="250"/>
        <v>0</v>
      </c>
      <c r="U1051" s="140" t="str">
        <f t="shared" si="251"/>
        <v/>
      </c>
      <c r="V1051" s="322">
        <f t="shared" si="260"/>
        <v>0</v>
      </c>
      <c r="W1051" s="140" t="str">
        <f t="shared" si="252"/>
        <v/>
      </c>
      <c r="X1051" s="322">
        <f t="shared" si="253"/>
        <v>-32.770000000000003</v>
      </c>
      <c r="Y1051" s="140">
        <f t="shared" si="254"/>
        <v>-1</v>
      </c>
      <c r="Z1051" s="519">
        <v>32.770000000000003</v>
      </c>
      <c r="AA1051" s="111">
        <f t="shared" si="261"/>
        <v>43.693333333333335</v>
      </c>
      <c r="AB1051" s="111">
        <f t="shared" si="262"/>
        <v>-10.923333333333332</v>
      </c>
    </row>
    <row r="1052" spans="1:28" ht="18.75" customHeight="1">
      <c r="A1052" s="114" t="s">
        <v>761</v>
      </c>
      <c r="B1052" s="125" t="s">
        <v>734</v>
      </c>
      <c r="C1052" s="97" t="s">
        <v>3189</v>
      </c>
      <c r="D1052" s="97" t="s">
        <v>3193</v>
      </c>
      <c r="E1052" s="540" t="s">
        <v>763</v>
      </c>
      <c r="F1052" s="540" t="s">
        <v>762</v>
      </c>
      <c r="G1052" s="555" t="s">
        <v>833</v>
      </c>
      <c r="H1052" s="555" t="s">
        <v>759</v>
      </c>
      <c r="I1052" s="556" t="s">
        <v>760</v>
      </c>
      <c r="J1052" s="557" t="s">
        <v>2912</v>
      </c>
      <c r="K1052" s="558" t="s">
        <v>2913</v>
      </c>
      <c r="L1052" s="95"/>
      <c r="M1052" s="104"/>
      <c r="N1052" s="137">
        <v>0</v>
      </c>
      <c r="O1052" s="138">
        <v>0</v>
      </c>
      <c r="P1052" s="138">
        <v>0</v>
      </c>
      <c r="Q1052" s="138">
        <v>0</v>
      </c>
      <c r="R1052" s="138">
        <v>0</v>
      </c>
      <c r="S1052" s="139">
        <v>0</v>
      </c>
      <c r="T1052" s="322">
        <f t="shared" si="250"/>
        <v>0</v>
      </c>
      <c r="U1052" s="140" t="str">
        <f t="shared" si="251"/>
        <v/>
      </c>
      <c r="V1052" s="322">
        <f t="shared" si="260"/>
        <v>0</v>
      </c>
      <c r="W1052" s="140" t="str">
        <f t="shared" si="252"/>
        <v/>
      </c>
      <c r="X1052" s="322">
        <f t="shared" si="253"/>
        <v>0</v>
      </c>
      <c r="Y1052" s="140" t="str">
        <f t="shared" si="254"/>
        <v/>
      </c>
      <c r="Z1052" s="519">
        <v>0</v>
      </c>
      <c r="AA1052" s="111">
        <f t="shared" si="261"/>
        <v>0</v>
      </c>
      <c r="AB1052" s="111">
        <f t="shared" si="262"/>
        <v>0</v>
      </c>
    </row>
    <row r="1053" spans="1:28" ht="27" customHeight="1">
      <c r="A1053" s="113" t="s">
        <v>764</v>
      </c>
      <c r="B1053" s="135" t="s">
        <v>765</v>
      </c>
      <c r="C1053" s="136" t="s">
        <v>3184</v>
      </c>
      <c r="D1053" s="136" t="s">
        <v>3185</v>
      </c>
      <c r="E1053" s="529" t="s">
        <v>767</v>
      </c>
      <c r="F1053" s="529" t="s">
        <v>766</v>
      </c>
      <c r="G1053" s="530"/>
      <c r="H1053" s="530"/>
      <c r="I1053" s="531"/>
      <c r="J1053" s="532"/>
      <c r="K1053" s="533"/>
      <c r="L1053" s="95"/>
      <c r="M1053" s="147"/>
      <c r="N1053" s="137">
        <v>0</v>
      </c>
      <c r="O1053" s="138">
        <v>0</v>
      </c>
      <c r="P1053" s="138">
        <v>0</v>
      </c>
      <c r="Q1053" s="138">
        <v>0</v>
      </c>
      <c r="R1053" s="138">
        <v>0</v>
      </c>
      <c r="S1053" s="139">
        <v>0</v>
      </c>
      <c r="T1053" s="322">
        <f t="shared" si="250"/>
        <v>0</v>
      </c>
      <c r="U1053" s="140" t="str">
        <f t="shared" si="251"/>
        <v/>
      </c>
      <c r="V1053" s="322">
        <f t="shared" si="260"/>
        <v>0</v>
      </c>
      <c r="W1053" s="140" t="str">
        <f t="shared" si="252"/>
        <v/>
      </c>
      <c r="X1053" s="322">
        <f t="shared" si="253"/>
        <v>0</v>
      </c>
      <c r="Y1053" s="140" t="str">
        <f t="shared" si="254"/>
        <v/>
      </c>
      <c r="Z1053" s="519">
        <v>0</v>
      </c>
      <c r="AA1053" s="111">
        <f t="shared" si="261"/>
        <v>0</v>
      </c>
      <c r="AB1053" s="111">
        <f t="shared" si="262"/>
        <v>0</v>
      </c>
    </row>
    <row r="1054" spans="1:28" ht="27" customHeight="1">
      <c r="A1054" s="115" t="s">
        <v>768</v>
      </c>
      <c r="B1054" s="124" t="s">
        <v>765</v>
      </c>
      <c r="C1054" s="101" t="s">
        <v>3186</v>
      </c>
      <c r="D1054" s="101" t="s">
        <v>3185</v>
      </c>
      <c r="E1054" s="534" t="s">
        <v>767</v>
      </c>
      <c r="F1054" s="534" t="s">
        <v>766</v>
      </c>
      <c r="G1054" s="555"/>
      <c r="H1054" s="555"/>
      <c r="I1054" s="556"/>
      <c r="J1054" s="557"/>
      <c r="K1054" s="558"/>
      <c r="L1054" s="95"/>
      <c r="M1054" s="104"/>
      <c r="N1054" s="137">
        <v>0</v>
      </c>
      <c r="O1054" s="138">
        <v>0</v>
      </c>
      <c r="P1054" s="138">
        <v>0</v>
      </c>
      <c r="Q1054" s="138">
        <v>0</v>
      </c>
      <c r="R1054" s="138">
        <v>0</v>
      </c>
      <c r="S1054" s="139">
        <v>0</v>
      </c>
      <c r="T1054" s="322">
        <f t="shared" si="250"/>
        <v>0</v>
      </c>
      <c r="U1054" s="140" t="str">
        <f t="shared" si="251"/>
        <v/>
      </c>
      <c r="V1054" s="322">
        <f t="shared" si="260"/>
        <v>0</v>
      </c>
      <c r="W1054" s="140" t="str">
        <f t="shared" si="252"/>
        <v/>
      </c>
      <c r="X1054" s="322">
        <f t="shared" si="253"/>
        <v>0</v>
      </c>
      <c r="Y1054" s="140" t="str">
        <f t="shared" si="254"/>
        <v/>
      </c>
      <c r="Z1054" s="519">
        <v>0</v>
      </c>
      <c r="AA1054" s="111">
        <f t="shared" si="261"/>
        <v>0</v>
      </c>
      <c r="AB1054" s="111">
        <f t="shared" si="262"/>
        <v>0</v>
      </c>
    </row>
    <row r="1055" spans="1:28" ht="27" customHeight="1">
      <c r="A1055" s="114" t="s">
        <v>769</v>
      </c>
      <c r="B1055" s="125" t="s">
        <v>765</v>
      </c>
      <c r="C1055" s="97" t="s">
        <v>3186</v>
      </c>
      <c r="D1055" s="97" t="s">
        <v>3183</v>
      </c>
      <c r="E1055" s="540" t="s">
        <v>767</v>
      </c>
      <c r="F1055" s="540" t="s">
        <v>766</v>
      </c>
      <c r="G1055" s="555" t="s">
        <v>852</v>
      </c>
      <c r="H1055" s="555" t="s">
        <v>771</v>
      </c>
      <c r="I1055" s="556" t="s">
        <v>770</v>
      </c>
      <c r="J1055" s="557" t="s">
        <v>771</v>
      </c>
      <c r="K1055" s="558" t="s">
        <v>770</v>
      </c>
      <c r="L1055" s="95"/>
      <c r="M1055" s="104"/>
      <c r="N1055" s="137">
        <v>0</v>
      </c>
      <c r="O1055" s="138">
        <v>0</v>
      </c>
      <c r="P1055" s="138">
        <v>0</v>
      </c>
      <c r="Q1055" s="138">
        <v>0</v>
      </c>
      <c r="R1055" s="138">
        <v>0</v>
      </c>
      <c r="S1055" s="139">
        <v>0</v>
      </c>
      <c r="T1055" s="322">
        <f t="shared" si="250"/>
        <v>0</v>
      </c>
      <c r="U1055" s="140" t="str">
        <f t="shared" si="251"/>
        <v/>
      </c>
      <c r="V1055" s="322">
        <f t="shared" si="260"/>
        <v>0</v>
      </c>
      <c r="W1055" s="140" t="str">
        <f t="shared" si="252"/>
        <v/>
      </c>
      <c r="X1055" s="322">
        <f t="shared" si="253"/>
        <v>0</v>
      </c>
      <c r="Y1055" s="140" t="str">
        <f t="shared" si="254"/>
        <v/>
      </c>
      <c r="Z1055" s="519">
        <v>0</v>
      </c>
      <c r="AA1055" s="111">
        <f t="shared" si="261"/>
        <v>0</v>
      </c>
      <c r="AB1055" s="111">
        <f t="shared" si="262"/>
        <v>0</v>
      </c>
    </row>
    <row r="1056" spans="1:28" ht="27" customHeight="1">
      <c r="A1056" s="114" t="s">
        <v>772</v>
      </c>
      <c r="B1056" s="125" t="s">
        <v>765</v>
      </c>
      <c r="C1056" s="97" t="s">
        <v>3186</v>
      </c>
      <c r="D1056" s="97" t="s">
        <v>3193</v>
      </c>
      <c r="E1056" s="540" t="s">
        <v>774</v>
      </c>
      <c r="F1056" s="540" t="s">
        <v>773</v>
      </c>
      <c r="G1056" s="555" t="s">
        <v>852</v>
      </c>
      <c r="H1056" s="555" t="s">
        <v>771</v>
      </c>
      <c r="I1056" s="556" t="s">
        <v>770</v>
      </c>
      <c r="J1056" s="557" t="s">
        <v>771</v>
      </c>
      <c r="K1056" s="558" t="s">
        <v>770</v>
      </c>
      <c r="L1056" s="95"/>
      <c r="M1056" s="104"/>
      <c r="N1056" s="137">
        <v>0</v>
      </c>
      <c r="O1056" s="138">
        <v>0</v>
      </c>
      <c r="P1056" s="138">
        <v>0</v>
      </c>
      <c r="Q1056" s="138">
        <v>0</v>
      </c>
      <c r="R1056" s="138">
        <v>0</v>
      </c>
      <c r="S1056" s="139">
        <v>0</v>
      </c>
      <c r="T1056" s="322">
        <f t="shared" si="250"/>
        <v>0</v>
      </c>
      <c r="U1056" s="140" t="str">
        <f t="shared" si="251"/>
        <v/>
      </c>
      <c r="V1056" s="322">
        <f t="shared" si="260"/>
        <v>0</v>
      </c>
      <c r="W1056" s="140" t="str">
        <f t="shared" si="252"/>
        <v/>
      </c>
      <c r="X1056" s="322">
        <f t="shared" si="253"/>
        <v>0</v>
      </c>
      <c r="Y1056" s="140" t="str">
        <f t="shared" si="254"/>
        <v/>
      </c>
      <c r="Z1056" s="519">
        <v>0</v>
      </c>
      <c r="AA1056" s="111">
        <f t="shared" si="261"/>
        <v>0</v>
      </c>
      <c r="AB1056" s="111">
        <f t="shared" si="262"/>
        <v>0</v>
      </c>
    </row>
    <row r="1057" spans="1:28" ht="27" customHeight="1">
      <c r="A1057" s="114" t="s">
        <v>775</v>
      </c>
      <c r="B1057" s="125" t="s">
        <v>765</v>
      </c>
      <c r="C1057" s="97" t="s">
        <v>3186</v>
      </c>
      <c r="D1057" s="97" t="s">
        <v>2631</v>
      </c>
      <c r="E1057" s="540" t="s">
        <v>777</v>
      </c>
      <c r="F1057" s="540" t="s">
        <v>776</v>
      </c>
      <c r="G1057" s="555" t="s">
        <v>852</v>
      </c>
      <c r="H1057" s="555" t="s">
        <v>771</v>
      </c>
      <c r="I1057" s="556" t="s">
        <v>770</v>
      </c>
      <c r="J1057" s="557" t="s">
        <v>771</v>
      </c>
      <c r="K1057" s="558" t="s">
        <v>770</v>
      </c>
      <c r="L1057" s="95"/>
      <c r="M1057" s="104"/>
      <c r="N1057" s="137">
        <v>0</v>
      </c>
      <c r="O1057" s="138">
        <v>0</v>
      </c>
      <c r="P1057" s="138">
        <v>0</v>
      </c>
      <c r="Q1057" s="138">
        <v>0</v>
      </c>
      <c r="R1057" s="138">
        <v>0</v>
      </c>
      <c r="S1057" s="139">
        <v>0</v>
      </c>
      <c r="T1057" s="322">
        <f t="shared" si="250"/>
        <v>0</v>
      </c>
      <c r="U1057" s="140" t="str">
        <f t="shared" si="251"/>
        <v/>
      </c>
      <c r="V1057" s="322">
        <f t="shared" si="260"/>
        <v>0</v>
      </c>
      <c r="W1057" s="140" t="str">
        <f t="shared" si="252"/>
        <v/>
      </c>
      <c r="X1057" s="322">
        <f t="shared" si="253"/>
        <v>0</v>
      </c>
      <c r="Y1057" s="140" t="str">
        <f t="shared" si="254"/>
        <v/>
      </c>
      <c r="Z1057" s="519">
        <v>0</v>
      </c>
      <c r="AA1057" s="111">
        <f t="shared" si="261"/>
        <v>0</v>
      </c>
      <c r="AB1057" s="111">
        <f t="shared" si="262"/>
        <v>0</v>
      </c>
    </row>
    <row r="1058" spans="1:28" ht="27" customHeight="1">
      <c r="A1058" s="114" t="s">
        <v>778</v>
      </c>
      <c r="B1058" s="125" t="s">
        <v>765</v>
      </c>
      <c r="C1058" s="97" t="s">
        <v>3186</v>
      </c>
      <c r="D1058" s="97" t="s">
        <v>1404</v>
      </c>
      <c r="E1058" s="540" t="s">
        <v>780</v>
      </c>
      <c r="F1058" s="540" t="s">
        <v>779</v>
      </c>
      <c r="G1058" s="555" t="s">
        <v>852</v>
      </c>
      <c r="H1058" s="555" t="s">
        <v>771</v>
      </c>
      <c r="I1058" s="556" t="s">
        <v>770</v>
      </c>
      <c r="J1058" s="557" t="s">
        <v>771</v>
      </c>
      <c r="K1058" s="558" t="s">
        <v>770</v>
      </c>
      <c r="L1058" s="95"/>
      <c r="M1058" s="104"/>
      <c r="N1058" s="137">
        <v>6503.01</v>
      </c>
      <c r="O1058" s="138">
        <v>0</v>
      </c>
      <c r="P1058" s="138">
        <v>0</v>
      </c>
      <c r="Q1058" s="138">
        <v>0</v>
      </c>
      <c r="R1058" s="138">
        <v>0</v>
      </c>
      <c r="S1058" s="139">
        <v>0</v>
      </c>
      <c r="T1058" s="322">
        <f t="shared" si="250"/>
        <v>-6503.01</v>
      </c>
      <c r="U1058" s="140">
        <f t="shared" si="251"/>
        <v>-1</v>
      </c>
      <c r="V1058" s="322">
        <f t="shared" si="260"/>
        <v>0</v>
      </c>
      <c r="W1058" s="140" t="str">
        <f t="shared" si="252"/>
        <v/>
      </c>
      <c r="X1058" s="322">
        <f t="shared" si="253"/>
        <v>0</v>
      </c>
      <c r="Y1058" s="140" t="str">
        <f t="shared" si="254"/>
        <v/>
      </c>
      <c r="Z1058" s="519">
        <v>0</v>
      </c>
      <c r="AA1058" s="111">
        <f t="shared" si="261"/>
        <v>0</v>
      </c>
      <c r="AB1058" s="111">
        <f t="shared" si="262"/>
        <v>0</v>
      </c>
    </row>
    <row r="1059" spans="1:28" ht="27" customHeight="1">
      <c r="A1059" s="114" t="s">
        <v>781</v>
      </c>
      <c r="B1059" s="125" t="s">
        <v>765</v>
      </c>
      <c r="C1059" s="97" t="s">
        <v>3186</v>
      </c>
      <c r="D1059" s="97" t="s">
        <v>1405</v>
      </c>
      <c r="E1059" s="540" t="s">
        <v>783</v>
      </c>
      <c r="F1059" s="540" t="s">
        <v>782</v>
      </c>
      <c r="G1059" s="555" t="s">
        <v>852</v>
      </c>
      <c r="H1059" s="555" t="s">
        <v>771</v>
      </c>
      <c r="I1059" s="556" t="s">
        <v>770</v>
      </c>
      <c r="J1059" s="557" t="s">
        <v>771</v>
      </c>
      <c r="K1059" s="558" t="s">
        <v>770</v>
      </c>
      <c r="L1059" s="95"/>
      <c r="M1059" s="104"/>
      <c r="N1059" s="137">
        <v>0</v>
      </c>
      <c r="O1059" s="138">
        <v>0</v>
      </c>
      <c r="P1059" s="138">
        <v>0</v>
      </c>
      <c r="Q1059" s="138">
        <v>0</v>
      </c>
      <c r="R1059" s="138">
        <v>0</v>
      </c>
      <c r="S1059" s="139">
        <v>0</v>
      </c>
      <c r="T1059" s="322">
        <f t="shared" si="250"/>
        <v>0</v>
      </c>
      <c r="U1059" s="140" t="str">
        <f t="shared" si="251"/>
        <v/>
      </c>
      <c r="V1059" s="322">
        <f t="shared" si="260"/>
        <v>0</v>
      </c>
      <c r="W1059" s="140" t="str">
        <f t="shared" si="252"/>
        <v/>
      </c>
      <c r="X1059" s="322">
        <f t="shared" si="253"/>
        <v>0</v>
      </c>
      <c r="Y1059" s="140" t="str">
        <f t="shared" si="254"/>
        <v/>
      </c>
      <c r="Z1059" s="519">
        <v>0</v>
      </c>
      <c r="AA1059" s="111">
        <f t="shared" si="261"/>
        <v>0</v>
      </c>
      <c r="AB1059" s="111">
        <f t="shared" si="262"/>
        <v>0</v>
      </c>
    </row>
    <row r="1060" spans="1:28" ht="16.5" customHeight="1">
      <c r="A1060" s="113" t="s">
        <v>784</v>
      </c>
      <c r="B1060" s="135" t="s">
        <v>2630</v>
      </c>
      <c r="C1060" s="136" t="s">
        <v>3184</v>
      </c>
      <c r="D1060" s="136" t="s">
        <v>3185</v>
      </c>
      <c r="E1060" s="529" t="s">
        <v>786</v>
      </c>
      <c r="F1060" s="529" t="s">
        <v>785</v>
      </c>
      <c r="G1060" s="530"/>
      <c r="H1060" s="530"/>
      <c r="I1060" s="531"/>
      <c r="J1060" s="532"/>
      <c r="K1060" s="533"/>
      <c r="L1060" s="95"/>
      <c r="M1060" s="147"/>
      <c r="N1060" s="137">
        <v>0</v>
      </c>
      <c r="O1060" s="138">
        <v>0</v>
      </c>
      <c r="P1060" s="138">
        <v>0</v>
      </c>
      <c r="Q1060" s="138">
        <v>0</v>
      </c>
      <c r="R1060" s="138">
        <v>0</v>
      </c>
      <c r="S1060" s="139">
        <v>0</v>
      </c>
      <c r="T1060" s="322">
        <f t="shared" si="250"/>
        <v>0</v>
      </c>
      <c r="U1060" s="140" t="str">
        <f t="shared" si="251"/>
        <v/>
      </c>
      <c r="V1060" s="322">
        <f t="shared" si="260"/>
        <v>0</v>
      </c>
      <c r="W1060" s="140" t="str">
        <f t="shared" si="252"/>
        <v/>
      </c>
      <c r="X1060" s="322">
        <f t="shared" si="253"/>
        <v>0</v>
      </c>
      <c r="Y1060" s="140" t="str">
        <f t="shared" si="254"/>
        <v/>
      </c>
      <c r="Z1060" s="519">
        <v>0</v>
      </c>
      <c r="AA1060" s="111">
        <f t="shared" si="261"/>
        <v>0</v>
      </c>
      <c r="AB1060" s="111">
        <f t="shared" si="262"/>
        <v>0</v>
      </c>
    </row>
    <row r="1061" spans="1:28" ht="16.5" customHeight="1">
      <c r="A1061" s="115" t="s">
        <v>787</v>
      </c>
      <c r="B1061" s="124" t="s">
        <v>2630</v>
      </c>
      <c r="C1061" s="101" t="s">
        <v>3186</v>
      </c>
      <c r="D1061" s="101" t="s">
        <v>3185</v>
      </c>
      <c r="E1061" s="554" t="s">
        <v>786</v>
      </c>
      <c r="F1061" s="534" t="s">
        <v>785</v>
      </c>
      <c r="G1061" s="555"/>
      <c r="H1061" s="555"/>
      <c r="I1061" s="556"/>
      <c r="J1061" s="557"/>
      <c r="K1061" s="558"/>
      <c r="L1061" s="95"/>
      <c r="M1061" s="104"/>
      <c r="N1061" s="137">
        <v>0</v>
      </c>
      <c r="O1061" s="138">
        <v>0</v>
      </c>
      <c r="P1061" s="138">
        <v>0</v>
      </c>
      <c r="Q1061" s="138">
        <v>0</v>
      </c>
      <c r="R1061" s="138">
        <v>0</v>
      </c>
      <c r="S1061" s="139">
        <v>0</v>
      </c>
      <c r="T1061" s="322">
        <f t="shared" si="250"/>
        <v>0</v>
      </c>
      <c r="U1061" s="140" t="str">
        <f t="shared" si="251"/>
        <v/>
      </c>
      <c r="V1061" s="322">
        <f t="shared" si="260"/>
        <v>0</v>
      </c>
      <c r="W1061" s="140" t="str">
        <f t="shared" si="252"/>
        <v/>
      </c>
      <c r="X1061" s="322">
        <f t="shared" si="253"/>
        <v>0</v>
      </c>
      <c r="Y1061" s="140" t="str">
        <f t="shared" si="254"/>
        <v/>
      </c>
      <c r="Z1061" s="519">
        <v>0</v>
      </c>
      <c r="AA1061" s="111">
        <f t="shared" si="261"/>
        <v>0</v>
      </c>
      <c r="AB1061" s="111">
        <f t="shared" si="262"/>
        <v>0</v>
      </c>
    </row>
    <row r="1062" spans="1:28" ht="16.5" customHeight="1">
      <c r="A1062" s="114" t="s">
        <v>0</v>
      </c>
      <c r="B1062" s="125" t="s">
        <v>2630</v>
      </c>
      <c r="C1062" s="97" t="s">
        <v>3186</v>
      </c>
      <c r="D1062" s="97" t="s">
        <v>3183</v>
      </c>
      <c r="E1062" s="559" t="s">
        <v>786</v>
      </c>
      <c r="F1062" s="540" t="s">
        <v>785</v>
      </c>
      <c r="G1062" s="555" t="s">
        <v>861</v>
      </c>
      <c r="H1062" s="555" t="s">
        <v>3708</v>
      </c>
      <c r="I1062" s="556" t="s">
        <v>1</v>
      </c>
      <c r="J1062" s="557" t="s">
        <v>2</v>
      </c>
      <c r="K1062" s="558" t="s">
        <v>1</v>
      </c>
      <c r="L1062" s="95"/>
      <c r="M1062" s="104"/>
      <c r="N1062" s="137">
        <v>0</v>
      </c>
      <c r="O1062" s="138">
        <v>0</v>
      </c>
      <c r="P1062" s="138">
        <v>0</v>
      </c>
      <c r="Q1062" s="138">
        <v>0</v>
      </c>
      <c r="R1062" s="138">
        <v>0</v>
      </c>
      <c r="S1062" s="139">
        <v>0</v>
      </c>
      <c r="T1062" s="322">
        <f t="shared" si="250"/>
        <v>0</v>
      </c>
      <c r="U1062" s="140" t="str">
        <f t="shared" si="251"/>
        <v/>
      </c>
      <c r="V1062" s="322">
        <f t="shared" si="260"/>
        <v>0</v>
      </c>
      <c r="W1062" s="140" t="str">
        <f t="shared" si="252"/>
        <v/>
      </c>
      <c r="X1062" s="322">
        <f t="shared" si="253"/>
        <v>0</v>
      </c>
      <c r="Y1062" s="140" t="str">
        <f t="shared" si="254"/>
        <v/>
      </c>
      <c r="Z1062" s="519">
        <v>0</v>
      </c>
      <c r="AA1062" s="111">
        <f t="shared" si="261"/>
        <v>0</v>
      </c>
      <c r="AB1062" s="111">
        <f t="shared" si="262"/>
        <v>0</v>
      </c>
    </row>
    <row r="1063" spans="1:28" ht="21">
      <c r="A1063" s="113" t="s">
        <v>3</v>
      </c>
      <c r="B1063" s="135" t="s">
        <v>4</v>
      </c>
      <c r="C1063" s="136" t="s">
        <v>3184</v>
      </c>
      <c r="D1063" s="136" t="s">
        <v>3185</v>
      </c>
      <c r="E1063" s="529" t="s">
        <v>6</v>
      </c>
      <c r="F1063" s="529" t="s">
        <v>5</v>
      </c>
      <c r="G1063" s="530"/>
      <c r="H1063" s="530"/>
      <c r="I1063" s="531"/>
      <c r="J1063" s="532"/>
      <c r="K1063" s="533"/>
      <c r="L1063" s="95"/>
      <c r="M1063" s="147"/>
      <c r="N1063" s="137">
        <v>0</v>
      </c>
      <c r="O1063" s="138">
        <v>0</v>
      </c>
      <c r="P1063" s="138">
        <v>0</v>
      </c>
      <c r="Q1063" s="138">
        <v>0</v>
      </c>
      <c r="R1063" s="138">
        <v>0</v>
      </c>
      <c r="S1063" s="139">
        <v>0</v>
      </c>
      <c r="T1063" s="322">
        <f t="shared" si="250"/>
        <v>0</v>
      </c>
      <c r="U1063" s="140" t="str">
        <f t="shared" si="251"/>
        <v/>
      </c>
      <c r="V1063" s="322">
        <f t="shared" si="260"/>
        <v>0</v>
      </c>
      <c r="W1063" s="140" t="str">
        <f t="shared" si="252"/>
        <v/>
      </c>
      <c r="X1063" s="322">
        <f t="shared" si="253"/>
        <v>0</v>
      </c>
      <c r="Y1063" s="140" t="str">
        <f t="shared" si="254"/>
        <v/>
      </c>
      <c r="Z1063" s="519">
        <v>0</v>
      </c>
      <c r="AA1063" s="111">
        <f t="shared" si="261"/>
        <v>0</v>
      </c>
      <c r="AB1063" s="111">
        <f t="shared" si="262"/>
        <v>0</v>
      </c>
    </row>
    <row r="1064" spans="1:28" s="102" customFormat="1" ht="21">
      <c r="A1064" s="115" t="s">
        <v>7</v>
      </c>
      <c r="B1064" s="124" t="s">
        <v>4</v>
      </c>
      <c r="C1064" s="101" t="s">
        <v>3186</v>
      </c>
      <c r="D1064" s="101" t="s">
        <v>3185</v>
      </c>
      <c r="E1064" s="554" t="s">
        <v>9</v>
      </c>
      <c r="F1064" s="534" t="s">
        <v>8</v>
      </c>
      <c r="G1064" s="595"/>
      <c r="H1064" s="595"/>
      <c r="I1064" s="556"/>
      <c r="J1064" s="557"/>
      <c r="K1064" s="558"/>
      <c r="L1064" s="95"/>
      <c r="M1064" s="104"/>
      <c r="N1064" s="137">
        <v>0</v>
      </c>
      <c r="O1064" s="138">
        <v>0</v>
      </c>
      <c r="P1064" s="138">
        <v>0</v>
      </c>
      <c r="Q1064" s="138">
        <v>0</v>
      </c>
      <c r="R1064" s="138">
        <v>0</v>
      </c>
      <c r="S1064" s="139">
        <v>0</v>
      </c>
      <c r="T1064" s="324">
        <f t="shared" si="250"/>
        <v>0</v>
      </c>
      <c r="U1064" s="143" t="str">
        <f t="shared" si="251"/>
        <v/>
      </c>
      <c r="V1064" s="324">
        <f t="shared" si="260"/>
        <v>0</v>
      </c>
      <c r="W1064" s="143" t="str">
        <f t="shared" si="252"/>
        <v/>
      </c>
      <c r="X1064" s="324">
        <f t="shared" si="253"/>
        <v>0</v>
      </c>
      <c r="Y1064" s="143" t="str">
        <f t="shared" si="254"/>
        <v/>
      </c>
      <c r="Z1064" s="519">
        <v>0</v>
      </c>
      <c r="AA1064" s="111">
        <f t="shared" si="261"/>
        <v>0</v>
      </c>
      <c r="AB1064" s="111">
        <f t="shared" si="262"/>
        <v>0</v>
      </c>
    </row>
    <row r="1065" spans="1:28" ht="16.5" customHeight="1">
      <c r="A1065" s="114" t="s">
        <v>10</v>
      </c>
      <c r="B1065" s="125" t="s">
        <v>4</v>
      </c>
      <c r="C1065" s="97" t="s">
        <v>3186</v>
      </c>
      <c r="D1065" s="97" t="s">
        <v>3183</v>
      </c>
      <c r="E1065" s="559" t="s">
        <v>9</v>
      </c>
      <c r="F1065" s="540" t="s">
        <v>8</v>
      </c>
      <c r="G1065" s="555" t="s">
        <v>223</v>
      </c>
      <c r="H1065" s="555" t="s">
        <v>3569</v>
      </c>
      <c r="I1065" s="556" t="s">
        <v>3571</v>
      </c>
      <c r="J1065" s="557" t="s">
        <v>3569</v>
      </c>
      <c r="K1065" s="558" t="s">
        <v>3571</v>
      </c>
      <c r="L1065" s="95"/>
      <c r="M1065" s="104"/>
      <c r="N1065" s="137">
        <v>0</v>
      </c>
      <c r="O1065" s="138">
        <v>0</v>
      </c>
      <c r="P1065" s="141">
        <v>0</v>
      </c>
      <c r="Q1065" s="138">
        <v>0</v>
      </c>
      <c r="R1065" s="138">
        <v>0</v>
      </c>
      <c r="S1065" s="139">
        <v>0</v>
      </c>
      <c r="T1065" s="322">
        <f t="shared" si="250"/>
        <v>0</v>
      </c>
      <c r="U1065" s="140" t="str">
        <f t="shared" si="251"/>
        <v/>
      </c>
      <c r="V1065" s="322">
        <f t="shared" si="260"/>
        <v>0</v>
      </c>
      <c r="W1065" s="140" t="str">
        <f t="shared" si="252"/>
        <v/>
      </c>
      <c r="X1065" s="322">
        <f t="shared" si="253"/>
        <v>0</v>
      </c>
      <c r="Y1065" s="140" t="str">
        <f t="shared" si="254"/>
        <v/>
      </c>
      <c r="Z1065" s="519">
        <v>0</v>
      </c>
      <c r="AA1065" s="111">
        <f t="shared" si="261"/>
        <v>0</v>
      </c>
      <c r="AB1065" s="111">
        <f t="shared" si="262"/>
        <v>0</v>
      </c>
    </row>
    <row r="1066" spans="1:28" ht="16.5" customHeight="1">
      <c r="A1066" s="115" t="s">
        <v>12</v>
      </c>
      <c r="B1066" s="124" t="s">
        <v>4</v>
      </c>
      <c r="C1066" s="101" t="s">
        <v>3187</v>
      </c>
      <c r="D1066" s="101" t="s">
        <v>3185</v>
      </c>
      <c r="E1066" s="554" t="s">
        <v>14</v>
      </c>
      <c r="F1066" s="534" t="s">
        <v>13</v>
      </c>
      <c r="G1066" s="555"/>
      <c r="H1066" s="555"/>
      <c r="I1066" s="556"/>
      <c r="J1066" s="557"/>
      <c r="K1066" s="558"/>
      <c r="L1066" s="95"/>
      <c r="M1066" s="104"/>
      <c r="N1066" s="137">
        <v>0</v>
      </c>
      <c r="O1066" s="141">
        <v>0</v>
      </c>
      <c r="P1066" s="138">
        <v>0</v>
      </c>
      <c r="Q1066" s="141">
        <v>0</v>
      </c>
      <c r="R1066" s="141">
        <v>0</v>
      </c>
      <c r="S1066" s="142">
        <v>0</v>
      </c>
      <c r="T1066" s="322">
        <f t="shared" si="250"/>
        <v>0</v>
      </c>
      <c r="U1066" s="140" t="str">
        <f t="shared" si="251"/>
        <v/>
      </c>
      <c r="V1066" s="322">
        <f t="shared" si="260"/>
        <v>0</v>
      </c>
      <c r="W1066" s="140" t="str">
        <f t="shared" si="252"/>
        <v/>
      </c>
      <c r="X1066" s="322">
        <f t="shared" si="253"/>
        <v>0</v>
      </c>
      <c r="Y1066" s="140" t="str">
        <f t="shared" si="254"/>
        <v/>
      </c>
      <c r="Z1066" s="519">
        <v>0</v>
      </c>
      <c r="AA1066" s="111">
        <f t="shared" si="261"/>
        <v>0</v>
      </c>
      <c r="AB1066" s="111">
        <f t="shared" si="262"/>
        <v>0</v>
      </c>
    </row>
    <row r="1067" spans="1:28" ht="16.5" customHeight="1">
      <c r="A1067" s="114" t="s">
        <v>15</v>
      </c>
      <c r="B1067" s="125" t="s">
        <v>4</v>
      </c>
      <c r="C1067" s="97" t="s">
        <v>3187</v>
      </c>
      <c r="D1067" s="97" t="s">
        <v>3183</v>
      </c>
      <c r="E1067" s="559" t="s">
        <v>14</v>
      </c>
      <c r="F1067" s="540" t="s">
        <v>13</v>
      </c>
      <c r="G1067" s="555" t="s">
        <v>223</v>
      </c>
      <c r="H1067" s="555" t="s">
        <v>3569</v>
      </c>
      <c r="I1067" s="556" t="s">
        <v>3571</v>
      </c>
      <c r="J1067" s="557" t="s">
        <v>3569</v>
      </c>
      <c r="K1067" s="558" t="s">
        <v>3571</v>
      </c>
      <c r="L1067" s="95"/>
      <c r="M1067" s="104"/>
      <c r="N1067" s="137">
        <v>27185.11</v>
      </c>
      <c r="O1067" s="138">
        <v>0</v>
      </c>
      <c r="P1067" s="138">
        <v>0</v>
      </c>
      <c r="Q1067" s="138">
        <v>0</v>
      </c>
      <c r="R1067" s="138">
        <v>0</v>
      </c>
      <c r="S1067" s="139">
        <v>0</v>
      </c>
      <c r="T1067" s="322">
        <f t="shared" si="250"/>
        <v>-27185.11</v>
      </c>
      <c r="U1067" s="140">
        <f t="shared" si="251"/>
        <v>-1</v>
      </c>
      <c r="V1067" s="322">
        <f t="shared" si="260"/>
        <v>0</v>
      </c>
      <c r="W1067" s="140" t="str">
        <f t="shared" si="252"/>
        <v/>
      </c>
      <c r="X1067" s="322">
        <f t="shared" si="253"/>
        <v>0</v>
      </c>
      <c r="Y1067" s="140" t="str">
        <f t="shared" si="254"/>
        <v/>
      </c>
      <c r="Z1067" s="519">
        <v>0</v>
      </c>
      <c r="AA1067" s="111">
        <f t="shared" si="261"/>
        <v>0</v>
      </c>
      <c r="AB1067" s="111">
        <f t="shared" si="262"/>
        <v>0</v>
      </c>
    </row>
    <row r="1068" spans="1:28" ht="27" customHeight="1">
      <c r="A1068" s="115" t="s">
        <v>16</v>
      </c>
      <c r="B1068" s="124" t="s">
        <v>4</v>
      </c>
      <c r="C1068" s="101" t="s">
        <v>3189</v>
      </c>
      <c r="D1068" s="101" t="s">
        <v>3185</v>
      </c>
      <c r="E1068" s="554" t="s">
        <v>18</v>
      </c>
      <c r="F1068" s="534" t="s">
        <v>17</v>
      </c>
      <c r="G1068" s="555"/>
      <c r="H1068" s="555"/>
      <c r="I1068" s="556"/>
      <c r="J1068" s="557"/>
      <c r="K1068" s="558"/>
      <c r="L1068" s="95"/>
      <c r="M1068" s="104"/>
      <c r="N1068" s="137">
        <v>0</v>
      </c>
      <c r="O1068" s="138">
        <v>0</v>
      </c>
      <c r="P1068" s="138">
        <v>0</v>
      </c>
      <c r="Q1068" s="138">
        <v>0</v>
      </c>
      <c r="R1068" s="138">
        <v>0</v>
      </c>
      <c r="S1068" s="139">
        <v>0</v>
      </c>
      <c r="T1068" s="322">
        <f t="shared" si="250"/>
        <v>0</v>
      </c>
      <c r="U1068" s="140" t="str">
        <f t="shared" si="251"/>
        <v/>
      </c>
      <c r="V1068" s="322">
        <f t="shared" si="260"/>
        <v>0</v>
      </c>
      <c r="W1068" s="140" t="str">
        <f t="shared" si="252"/>
        <v/>
      </c>
      <c r="X1068" s="322">
        <f t="shared" si="253"/>
        <v>0</v>
      </c>
      <c r="Y1068" s="140" t="str">
        <f t="shared" si="254"/>
        <v/>
      </c>
      <c r="Z1068" s="519">
        <v>0</v>
      </c>
      <c r="AA1068" s="111">
        <f t="shared" si="261"/>
        <v>0</v>
      </c>
      <c r="AB1068" s="111">
        <f t="shared" si="262"/>
        <v>0</v>
      </c>
    </row>
    <row r="1069" spans="1:28" ht="27" customHeight="1">
      <c r="A1069" s="116" t="s">
        <v>19</v>
      </c>
      <c r="B1069" s="126" t="s">
        <v>4</v>
      </c>
      <c r="C1069" s="98" t="s">
        <v>3189</v>
      </c>
      <c r="D1069" s="98" t="s">
        <v>3183</v>
      </c>
      <c r="E1069" s="540" t="s">
        <v>20</v>
      </c>
      <c r="F1069" s="540" t="s">
        <v>17</v>
      </c>
      <c r="G1069" s="511" t="s">
        <v>213</v>
      </c>
      <c r="H1069" s="511" t="s">
        <v>3709</v>
      </c>
      <c r="I1069" s="544" t="s">
        <v>3710</v>
      </c>
      <c r="J1069" s="542" t="s">
        <v>3566</v>
      </c>
      <c r="K1069" s="543" t="s">
        <v>3568</v>
      </c>
      <c r="L1069" s="95"/>
      <c r="M1069" s="104"/>
      <c r="N1069" s="137">
        <v>23306968.109999999</v>
      </c>
      <c r="O1069" s="138">
        <v>20437000</v>
      </c>
      <c r="P1069" s="138">
        <v>23306000</v>
      </c>
      <c r="Q1069" s="138">
        <v>23306000</v>
      </c>
      <c r="R1069" s="138">
        <v>23306000</v>
      </c>
      <c r="S1069" s="139">
        <v>23306000</v>
      </c>
      <c r="T1069" s="322">
        <f t="shared" si="250"/>
        <v>-968.10999999940395</v>
      </c>
      <c r="U1069" s="140">
        <f t="shared" si="251"/>
        <v>-4.1537363222461798E-5</v>
      </c>
      <c r="V1069" s="322">
        <f t="shared" si="260"/>
        <v>2869000</v>
      </c>
      <c r="W1069" s="140">
        <f t="shared" si="252"/>
        <v>0.14038263933062584</v>
      </c>
      <c r="X1069" s="322">
        <f t="shared" si="253"/>
        <v>0</v>
      </c>
      <c r="Y1069" s="140">
        <f t="shared" si="254"/>
        <v>0</v>
      </c>
      <c r="Z1069" s="519">
        <v>17479500</v>
      </c>
      <c r="AA1069" s="111">
        <f t="shared" si="261"/>
        <v>23306000</v>
      </c>
      <c r="AB1069" s="111">
        <f t="shared" si="262"/>
        <v>0</v>
      </c>
    </row>
    <row r="1070" spans="1:28" ht="42">
      <c r="A1070" s="116" t="s">
        <v>3711</v>
      </c>
      <c r="B1070" s="126" t="s">
        <v>4</v>
      </c>
      <c r="C1070" s="98" t="s">
        <v>3189</v>
      </c>
      <c r="D1070" s="98" t="s">
        <v>3193</v>
      </c>
      <c r="E1070" s="540" t="s">
        <v>3712</v>
      </c>
      <c r="F1070" s="540" t="s">
        <v>3713</v>
      </c>
      <c r="G1070" s="591" t="s">
        <v>217</v>
      </c>
      <c r="H1070" s="591" t="s">
        <v>3714</v>
      </c>
      <c r="I1070" s="544" t="s">
        <v>3715</v>
      </c>
      <c r="J1070" s="542" t="s">
        <v>3566</v>
      </c>
      <c r="K1070" s="543" t="s">
        <v>3568</v>
      </c>
      <c r="L1070" s="95"/>
      <c r="M1070" s="104"/>
      <c r="N1070" s="137">
        <v>62018.42</v>
      </c>
      <c r="O1070" s="138">
        <v>60000</v>
      </c>
      <c r="P1070" s="138">
        <v>62000</v>
      </c>
      <c r="Q1070" s="138">
        <v>62000</v>
      </c>
      <c r="R1070" s="138">
        <v>62000</v>
      </c>
      <c r="S1070" s="139">
        <v>62000</v>
      </c>
      <c r="T1070" s="322">
        <f t="shared" si="250"/>
        <v>-18.419999999998254</v>
      </c>
      <c r="U1070" s="140">
        <f t="shared" si="251"/>
        <v>-2.9700853391618576E-4</v>
      </c>
      <c r="V1070" s="322">
        <f t="shared" si="260"/>
        <v>2000</v>
      </c>
      <c r="W1070" s="140">
        <f t="shared" si="252"/>
        <v>3.3333333333333333E-2</v>
      </c>
      <c r="X1070" s="322">
        <f t="shared" si="253"/>
        <v>0</v>
      </c>
      <c r="Y1070" s="140">
        <f t="shared" si="254"/>
        <v>0</v>
      </c>
      <c r="Z1070" s="519">
        <v>46500</v>
      </c>
      <c r="AA1070" s="111">
        <f t="shared" si="261"/>
        <v>62000</v>
      </c>
      <c r="AB1070" s="111">
        <f t="shared" si="262"/>
        <v>0</v>
      </c>
    </row>
    <row r="1071" spans="1:28" ht="36.75" customHeight="1">
      <c r="A1071" s="116" t="s">
        <v>3716</v>
      </c>
      <c r="B1071" s="126" t="s">
        <v>4</v>
      </c>
      <c r="C1071" s="98" t="s">
        <v>3189</v>
      </c>
      <c r="D1071" s="98" t="s">
        <v>2631</v>
      </c>
      <c r="E1071" s="540" t="s">
        <v>3717</v>
      </c>
      <c r="F1071" s="540" t="s">
        <v>3718</v>
      </c>
      <c r="G1071" s="591" t="s">
        <v>219</v>
      </c>
      <c r="H1071" s="591" t="s">
        <v>3719</v>
      </c>
      <c r="I1071" s="544" t="s">
        <v>3720</v>
      </c>
      <c r="J1071" s="542" t="s">
        <v>3566</v>
      </c>
      <c r="K1071" s="543" t="s">
        <v>3568</v>
      </c>
      <c r="L1071" s="95"/>
      <c r="M1071" s="104"/>
      <c r="N1071" s="137">
        <v>11946.16</v>
      </c>
      <c r="O1071" s="138">
        <v>11200</v>
      </c>
      <c r="P1071" s="138">
        <v>12000</v>
      </c>
      <c r="Q1071" s="138">
        <v>12000</v>
      </c>
      <c r="R1071" s="138">
        <v>12000</v>
      </c>
      <c r="S1071" s="139">
        <v>12000</v>
      </c>
      <c r="T1071" s="322">
        <f t="shared" si="250"/>
        <v>53.840000000000146</v>
      </c>
      <c r="U1071" s="140">
        <f t="shared" si="251"/>
        <v>4.5068875688924429E-3</v>
      </c>
      <c r="V1071" s="322">
        <f t="shared" si="260"/>
        <v>800</v>
      </c>
      <c r="W1071" s="140">
        <f t="shared" si="252"/>
        <v>7.1428571428571425E-2</v>
      </c>
      <c r="X1071" s="322">
        <f t="shared" si="253"/>
        <v>0</v>
      </c>
      <c r="Y1071" s="140">
        <f t="shared" si="254"/>
        <v>0</v>
      </c>
      <c r="Z1071" s="519">
        <v>9000</v>
      </c>
      <c r="AA1071" s="111">
        <f t="shared" si="261"/>
        <v>12000</v>
      </c>
      <c r="AB1071" s="111">
        <f t="shared" si="262"/>
        <v>0</v>
      </c>
    </row>
    <row r="1072" spans="1:28" ht="36.75" customHeight="1">
      <c r="A1072" s="116" t="s">
        <v>3721</v>
      </c>
      <c r="B1072" s="126" t="s">
        <v>4</v>
      </c>
      <c r="C1072" s="98" t="s">
        <v>3189</v>
      </c>
      <c r="D1072" s="98" t="s">
        <v>1404</v>
      </c>
      <c r="E1072" s="540" t="s">
        <v>3722</v>
      </c>
      <c r="F1072" s="540" t="s">
        <v>3723</v>
      </c>
      <c r="G1072" s="591" t="s">
        <v>412</v>
      </c>
      <c r="H1072" s="591" t="s">
        <v>3724</v>
      </c>
      <c r="I1072" s="544" t="s">
        <v>3139</v>
      </c>
      <c r="J1072" s="542" t="s">
        <v>3566</v>
      </c>
      <c r="K1072" s="543" t="s">
        <v>3568</v>
      </c>
      <c r="L1072" s="95"/>
      <c r="M1072" s="104"/>
      <c r="N1072" s="137">
        <v>0</v>
      </c>
      <c r="O1072" s="138">
        <v>0</v>
      </c>
      <c r="P1072" s="138">
        <v>0</v>
      </c>
      <c r="Q1072" s="138">
        <v>0</v>
      </c>
      <c r="R1072" s="138">
        <v>0</v>
      </c>
      <c r="S1072" s="139">
        <v>0</v>
      </c>
      <c r="T1072" s="322">
        <f t="shared" si="250"/>
        <v>0</v>
      </c>
      <c r="U1072" s="140" t="str">
        <f t="shared" si="251"/>
        <v/>
      </c>
      <c r="V1072" s="322">
        <f t="shared" si="260"/>
        <v>0</v>
      </c>
      <c r="W1072" s="140" t="str">
        <f t="shared" si="252"/>
        <v/>
      </c>
      <c r="X1072" s="322">
        <f t="shared" si="253"/>
        <v>0</v>
      </c>
      <c r="Y1072" s="140" t="str">
        <f t="shared" si="254"/>
        <v/>
      </c>
      <c r="Z1072" s="519">
        <v>0</v>
      </c>
      <c r="AA1072" s="111">
        <f t="shared" si="261"/>
        <v>0</v>
      </c>
      <c r="AB1072" s="111">
        <f t="shared" si="262"/>
        <v>0</v>
      </c>
    </row>
    <row r="1073" spans="1:28" ht="33.75">
      <c r="A1073" s="116" t="s">
        <v>4344</v>
      </c>
      <c r="B1073" s="126" t="s">
        <v>4</v>
      </c>
      <c r="C1073" s="98" t="s">
        <v>3189</v>
      </c>
      <c r="D1073" s="98" t="s">
        <v>1405</v>
      </c>
      <c r="E1073" s="540" t="s">
        <v>4345</v>
      </c>
      <c r="F1073" s="540" t="s">
        <v>4346</v>
      </c>
      <c r="G1073" s="591" t="s">
        <v>412</v>
      </c>
      <c r="H1073" s="591" t="s">
        <v>3724</v>
      </c>
      <c r="I1073" s="544" t="s">
        <v>3139</v>
      </c>
      <c r="J1073" s="542" t="s">
        <v>3566</v>
      </c>
      <c r="K1073" s="543" t="s">
        <v>3568</v>
      </c>
      <c r="L1073" s="95"/>
      <c r="M1073" s="104"/>
      <c r="N1073" s="137">
        <v>0</v>
      </c>
      <c r="O1073" s="138">
        <v>0</v>
      </c>
      <c r="P1073" s="138">
        <v>0</v>
      </c>
      <c r="Q1073" s="138">
        <v>0</v>
      </c>
      <c r="R1073" s="138">
        <v>0</v>
      </c>
      <c r="S1073" s="139">
        <v>0</v>
      </c>
      <c r="T1073" s="322">
        <f t="shared" si="250"/>
        <v>0</v>
      </c>
      <c r="U1073" s="140" t="str">
        <f t="shared" si="251"/>
        <v/>
      </c>
      <c r="V1073" s="322">
        <f t="shared" si="260"/>
        <v>0</v>
      </c>
      <c r="W1073" s="140" t="str">
        <f t="shared" si="252"/>
        <v/>
      </c>
      <c r="X1073" s="322">
        <f t="shared" si="253"/>
        <v>0</v>
      </c>
      <c r="Y1073" s="140" t="str">
        <f t="shared" si="254"/>
        <v/>
      </c>
      <c r="Z1073" s="519">
        <v>0</v>
      </c>
      <c r="AA1073" s="111">
        <f t="shared" si="261"/>
        <v>0</v>
      </c>
      <c r="AB1073" s="111">
        <f t="shared" si="262"/>
        <v>0</v>
      </c>
    </row>
    <row r="1074" spans="1:28" ht="33.75">
      <c r="A1074" s="116" t="s">
        <v>4347</v>
      </c>
      <c r="B1074" s="126" t="s">
        <v>4</v>
      </c>
      <c r="C1074" s="98" t="s">
        <v>3189</v>
      </c>
      <c r="D1074" s="98" t="s">
        <v>2291</v>
      </c>
      <c r="E1074" s="540" t="s">
        <v>4348</v>
      </c>
      <c r="F1074" s="540" t="s">
        <v>4349</v>
      </c>
      <c r="G1074" s="591" t="s">
        <v>412</v>
      </c>
      <c r="H1074" s="591" t="s">
        <v>3724</v>
      </c>
      <c r="I1074" s="544" t="s">
        <v>3139</v>
      </c>
      <c r="J1074" s="542" t="s">
        <v>3566</v>
      </c>
      <c r="K1074" s="543" t="s">
        <v>3568</v>
      </c>
      <c r="L1074" s="95"/>
      <c r="M1074" s="104"/>
      <c r="N1074" s="137">
        <v>0</v>
      </c>
      <c r="O1074" s="138">
        <v>0</v>
      </c>
      <c r="P1074" s="138">
        <v>0</v>
      </c>
      <c r="Q1074" s="138">
        <v>0</v>
      </c>
      <c r="R1074" s="138">
        <v>0</v>
      </c>
      <c r="S1074" s="139">
        <v>0</v>
      </c>
      <c r="T1074" s="322">
        <f t="shared" si="250"/>
        <v>0</v>
      </c>
      <c r="U1074" s="140" t="str">
        <f t="shared" si="251"/>
        <v/>
      </c>
      <c r="V1074" s="322">
        <f t="shared" si="260"/>
        <v>0</v>
      </c>
      <c r="W1074" s="140" t="str">
        <f t="shared" si="252"/>
        <v/>
      </c>
      <c r="X1074" s="322">
        <f t="shared" si="253"/>
        <v>0</v>
      </c>
      <c r="Y1074" s="140" t="str">
        <f t="shared" si="254"/>
        <v/>
      </c>
      <c r="Z1074" s="519">
        <v>0</v>
      </c>
      <c r="AA1074" s="111">
        <f t="shared" si="261"/>
        <v>0</v>
      </c>
      <c r="AB1074" s="111">
        <f t="shared" si="262"/>
        <v>0</v>
      </c>
    </row>
    <row r="1075" spans="1:28" ht="31.5">
      <c r="A1075" s="116" t="s">
        <v>4350</v>
      </c>
      <c r="B1075" s="126" t="s">
        <v>4</v>
      </c>
      <c r="C1075" s="98" t="s">
        <v>3189</v>
      </c>
      <c r="D1075" s="98" t="s">
        <v>1693</v>
      </c>
      <c r="E1075" s="540" t="s">
        <v>5600</v>
      </c>
      <c r="F1075" s="540" t="s">
        <v>5601</v>
      </c>
      <c r="G1075" s="591" t="s">
        <v>221</v>
      </c>
      <c r="H1075" s="591" t="s">
        <v>3142</v>
      </c>
      <c r="I1075" s="544" t="s">
        <v>3143</v>
      </c>
      <c r="J1075" s="542" t="s">
        <v>3566</v>
      </c>
      <c r="K1075" s="543" t="s">
        <v>3568</v>
      </c>
      <c r="L1075" s="95"/>
      <c r="M1075" s="104"/>
      <c r="N1075" s="137">
        <v>0</v>
      </c>
      <c r="O1075" s="138">
        <v>0</v>
      </c>
      <c r="P1075" s="138">
        <v>0</v>
      </c>
      <c r="Q1075" s="138">
        <v>0</v>
      </c>
      <c r="R1075" s="138">
        <v>0</v>
      </c>
      <c r="S1075" s="139">
        <v>0</v>
      </c>
      <c r="T1075" s="322">
        <f t="shared" si="250"/>
        <v>0</v>
      </c>
      <c r="U1075" s="140" t="str">
        <f t="shared" si="251"/>
        <v/>
      </c>
      <c r="V1075" s="322">
        <f t="shared" si="260"/>
        <v>0</v>
      </c>
      <c r="W1075" s="140" t="str">
        <f t="shared" si="252"/>
        <v/>
      </c>
      <c r="X1075" s="322">
        <f t="shared" si="253"/>
        <v>0</v>
      </c>
      <c r="Y1075" s="140" t="str">
        <f t="shared" si="254"/>
        <v/>
      </c>
      <c r="Z1075" s="519">
        <v>0</v>
      </c>
      <c r="AA1075" s="111">
        <f t="shared" si="261"/>
        <v>0</v>
      </c>
      <c r="AB1075" s="111">
        <f t="shared" si="262"/>
        <v>0</v>
      </c>
    </row>
    <row r="1076" spans="1:28" ht="36" customHeight="1">
      <c r="A1076" s="115" t="s">
        <v>4624</v>
      </c>
      <c r="B1076" s="124" t="s">
        <v>4</v>
      </c>
      <c r="C1076" s="101" t="s">
        <v>2758</v>
      </c>
      <c r="D1076" s="101" t="s">
        <v>3185</v>
      </c>
      <c r="E1076" s="534" t="s">
        <v>4618</v>
      </c>
      <c r="F1076" s="534" t="s">
        <v>4619</v>
      </c>
      <c r="G1076" s="596"/>
      <c r="H1076" s="596"/>
      <c r="I1076" s="586"/>
      <c r="J1076" s="587"/>
      <c r="K1076" s="588"/>
      <c r="L1076" s="95"/>
      <c r="M1076" s="104"/>
      <c r="N1076" s="137">
        <v>0</v>
      </c>
      <c r="O1076" s="138">
        <v>0</v>
      </c>
      <c r="P1076" s="138">
        <v>0</v>
      </c>
      <c r="Q1076" s="138">
        <v>0</v>
      </c>
      <c r="R1076" s="138">
        <v>0</v>
      </c>
      <c r="S1076" s="139">
        <v>0</v>
      </c>
      <c r="T1076" s="322">
        <f t="shared" si="250"/>
        <v>0</v>
      </c>
      <c r="U1076" s="140" t="str">
        <f t="shared" si="251"/>
        <v/>
      </c>
      <c r="V1076" s="322">
        <f t="shared" si="260"/>
        <v>0</v>
      </c>
      <c r="W1076" s="140" t="str">
        <f t="shared" si="252"/>
        <v/>
      </c>
      <c r="X1076" s="322">
        <f t="shared" si="253"/>
        <v>0</v>
      </c>
      <c r="Y1076" s="140" t="str">
        <f t="shared" si="254"/>
        <v/>
      </c>
      <c r="Z1076" s="519">
        <v>0</v>
      </c>
      <c r="AA1076" s="111">
        <f t="shared" si="261"/>
        <v>0</v>
      </c>
      <c r="AB1076" s="111">
        <f t="shared" si="262"/>
        <v>0</v>
      </c>
    </row>
    <row r="1077" spans="1:28" ht="33.75">
      <c r="A1077" s="116" t="s">
        <v>4625</v>
      </c>
      <c r="B1077" s="126" t="s">
        <v>4</v>
      </c>
      <c r="C1077" s="98" t="s">
        <v>2758</v>
      </c>
      <c r="D1077" s="98" t="s">
        <v>3183</v>
      </c>
      <c r="E1077" s="540" t="s">
        <v>4620</v>
      </c>
      <c r="F1077" s="540" t="s">
        <v>4621</v>
      </c>
      <c r="G1077" s="591" t="s">
        <v>213</v>
      </c>
      <c r="H1077" s="591" t="s">
        <v>3709</v>
      </c>
      <c r="I1077" s="544" t="s">
        <v>3710</v>
      </c>
      <c r="J1077" s="542" t="s">
        <v>3566</v>
      </c>
      <c r="K1077" s="543" t="s">
        <v>3568</v>
      </c>
      <c r="L1077" s="95"/>
      <c r="M1077" s="104"/>
      <c r="N1077" s="137">
        <v>255177.34</v>
      </c>
      <c r="O1077" s="138">
        <v>199000</v>
      </c>
      <c r="P1077" s="138">
        <v>256000</v>
      </c>
      <c r="Q1077" s="138">
        <v>256000</v>
      </c>
      <c r="R1077" s="138">
        <v>256000</v>
      </c>
      <c r="S1077" s="139">
        <v>256000</v>
      </c>
      <c r="T1077" s="322">
        <f t="shared" si="250"/>
        <v>822.66000000000349</v>
      </c>
      <c r="U1077" s="140">
        <f t="shared" si="251"/>
        <v>3.2238755996124246E-3</v>
      </c>
      <c r="V1077" s="322">
        <f t="shared" si="260"/>
        <v>57000</v>
      </c>
      <c r="W1077" s="140">
        <f t="shared" si="252"/>
        <v>0.28643216080402012</v>
      </c>
      <c r="X1077" s="322">
        <f t="shared" si="253"/>
        <v>0</v>
      </c>
      <c r="Y1077" s="140">
        <f t="shared" si="254"/>
        <v>0</v>
      </c>
      <c r="Z1077" s="519">
        <v>192000</v>
      </c>
      <c r="AA1077" s="111">
        <f t="shared" si="261"/>
        <v>256000</v>
      </c>
      <c r="AB1077" s="111">
        <f t="shared" si="262"/>
        <v>0</v>
      </c>
    </row>
    <row r="1078" spans="1:28" ht="31.5">
      <c r="A1078" s="116" t="s">
        <v>4626</v>
      </c>
      <c r="B1078" s="126" t="s">
        <v>4</v>
      </c>
      <c r="C1078" s="98" t="s">
        <v>2758</v>
      </c>
      <c r="D1078" s="98" t="s">
        <v>3193</v>
      </c>
      <c r="E1078" s="540" t="s">
        <v>4622</v>
      </c>
      <c r="F1078" s="540" t="s">
        <v>4623</v>
      </c>
      <c r="G1078" s="591" t="s">
        <v>221</v>
      </c>
      <c r="H1078" s="591" t="s">
        <v>3142</v>
      </c>
      <c r="I1078" s="544" t="s">
        <v>3143</v>
      </c>
      <c r="J1078" s="542" t="s">
        <v>3566</v>
      </c>
      <c r="K1078" s="543" t="s">
        <v>3568</v>
      </c>
      <c r="L1078" s="95"/>
      <c r="M1078" s="104"/>
      <c r="N1078" s="137">
        <v>997.94</v>
      </c>
      <c r="O1078" s="138">
        <v>25000</v>
      </c>
      <c r="P1078" s="138">
        <v>1000</v>
      </c>
      <c r="Q1078" s="138">
        <v>1000</v>
      </c>
      <c r="R1078" s="138">
        <v>1000</v>
      </c>
      <c r="S1078" s="139">
        <v>1000</v>
      </c>
      <c r="T1078" s="322">
        <f t="shared" si="250"/>
        <v>2.0599999999999454</v>
      </c>
      <c r="U1078" s="140">
        <f t="shared" si="251"/>
        <v>2.0642523598612596E-3</v>
      </c>
      <c r="V1078" s="322">
        <f t="shared" si="260"/>
        <v>-24000</v>
      </c>
      <c r="W1078" s="140">
        <f t="shared" si="252"/>
        <v>-0.96</v>
      </c>
      <c r="X1078" s="322">
        <f t="shared" si="253"/>
        <v>0</v>
      </c>
      <c r="Y1078" s="140">
        <f t="shared" si="254"/>
        <v>0</v>
      </c>
      <c r="Z1078" s="519">
        <v>750</v>
      </c>
      <c r="AA1078" s="111">
        <f t="shared" si="261"/>
        <v>1000</v>
      </c>
      <c r="AB1078" s="111">
        <f t="shared" si="262"/>
        <v>0</v>
      </c>
    </row>
    <row r="1079" spans="1:28" ht="31.5">
      <c r="A1079" s="116" t="s">
        <v>4420</v>
      </c>
      <c r="B1079" s="127" t="s">
        <v>4</v>
      </c>
      <c r="C1079" s="99" t="s">
        <v>2553</v>
      </c>
      <c r="D1079" s="99" t="s">
        <v>3185</v>
      </c>
      <c r="E1079" s="534" t="s">
        <v>4421</v>
      </c>
      <c r="F1079" s="534" t="s">
        <v>4422</v>
      </c>
      <c r="G1079" s="596"/>
      <c r="H1079" s="596"/>
      <c r="I1079" s="586"/>
      <c r="J1079" s="587"/>
      <c r="K1079" s="588"/>
      <c r="L1079" s="95"/>
      <c r="M1079" s="104"/>
      <c r="N1079" s="137">
        <v>0</v>
      </c>
      <c r="O1079" s="138">
        <v>0</v>
      </c>
      <c r="P1079" s="138">
        <v>0</v>
      </c>
      <c r="Q1079" s="138">
        <v>0</v>
      </c>
      <c r="R1079" s="138">
        <v>0</v>
      </c>
      <c r="S1079" s="139">
        <v>0</v>
      </c>
      <c r="T1079" s="322">
        <f t="shared" si="250"/>
        <v>0</v>
      </c>
      <c r="U1079" s="140" t="str">
        <f t="shared" si="251"/>
        <v/>
      </c>
      <c r="V1079" s="322">
        <f t="shared" si="260"/>
        <v>0</v>
      </c>
      <c r="W1079" s="140" t="str">
        <f t="shared" si="252"/>
        <v/>
      </c>
      <c r="X1079" s="322">
        <f t="shared" si="253"/>
        <v>0</v>
      </c>
      <c r="Y1079" s="140" t="str">
        <f t="shared" si="254"/>
        <v/>
      </c>
      <c r="Z1079" s="519">
        <v>0</v>
      </c>
      <c r="AA1079" s="111">
        <f t="shared" si="261"/>
        <v>0</v>
      </c>
      <c r="AB1079" s="111">
        <f t="shared" si="262"/>
        <v>0</v>
      </c>
    </row>
    <row r="1080" spans="1:28" ht="33.75">
      <c r="A1080" s="116" t="s">
        <v>4423</v>
      </c>
      <c r="B1080" s="126" t="s">
        <v>4</v>
      </c>
      <c r="C1080" s="98" t="s">
        <v>2553</v>
      </c>
      <c r="D1080" s="98" t="s">
        <v>3183</v>
      </c>
      <c r="E1080" s="540" t="s">
        <v>4421</v>
      </c>
      <c r="F1080" s="540" t="s">
        <v>4422</v>
      </c>
      <c r="G1080" s="591" t="s">
        <v>213</v>
      </c>
      <c r="H1080" s="591" t="s">
        <v>3566</v>
      </c>
      <c r="I1080" s="544" t="s">
        <v>3141</v>
      </c>
      <c r="J1080" s="542" t="s">
        <v>3566</v>
      </c>
      <c r="K1080" s="543" t="s">
        <v>3568</v>
      </c>
      <c r="L1080" s="95"/>
      <c r="M1080" s="104"/>
      <c r="N1080" s="137">
        <v>0</v>
      </c>
      <c r="O1080" s="138">
        <v>0</v>
      </c>
      <c r="P1080" s="138">
        <v>0</v>
      </c>
      <c r="Q1080" s="138">
        <v>0</v>
      </c>
      <c r="R1080" s="138">
        <v>0</v>
      </c>
      <c r="S1080" s="139">
        <v>0</v>
      </c>
      <c r="T1080" s="322">
        <f t="shared" si="250"/>
        <v>0</v>
      </c>
      <c r="U1080" s="140" t="str">
        <f t="shared" si="251"/>
        <v/>
      </c>
      <c r="V1080" s="322">
        <f t="shared" si="260"/>
        <v>0</v>
      </c>
      <c r="W1080" s="140" t="str">
        <f t="shared" si="252"/>
        <v/>
      </c>
      <c r="X1080" s="322">
        <f t="shared" si="253"/>
        <v>0</v>
      </c>
      <c r="Y1080" s="140" t="str">
        <f t="shared" si="254"/>
        <v/>
      </c>
      <c r="Z1080" s="519">
        <v>0</v>
      </c>
      <c r="AA1080" s="111">
        <f t="shared" si="261"/>
        <v>0</v>
      </c>
      <c r="AB1080" s="111">
        <f t="shared" si="262"/>
        <v>0</v>
      </c>
    </row>
    <row r="1081" spans="1:28" ht="36" customHeight="1">
      <c r="A1081" s="115" t="s">
        <v>21</v>
      </c>
      <c r="B1081" s="124" t="s">
        <v>4</v>
      </c>
      <c r="C1081" s="101" t="s">
        <v>3190</v>
      </c>
      <c r="D1081" s="101" t="s">
        <v>3185</v>
      </c>
      <c r="E1081" s="554" t="s">
        <v>526</v>
      </c>
      <c r="F1081" s="534" t="s">
        <v>525</v>
      </c>
      <c r="G1081" s="555"/>
      <c r="H1081" s="555"/>
      <c r="I1081" s="556"/>
      <c r="J1081" s="557"/>
      <c r="K1081" s="558"/>
      <c r="L1081" s="95"/>
      <c r="M1081" s="104"/>
      <c r="N1081" s="137">
        <v>0</v>
      </c>
      <c r="O1081" s="138">
        <v>0</v>
      </c>
      <c r="P1081" s="138">
        <v>0</v>
      </c>
      <c r="Q1081" s="138">
        <v>0</v>
      </c>
      <c r="R1081" s="138">
        <v>0</v>
      </c>
      <c r="S1081" s="139">
        <v>0</v>
      </c>
      <c r="T1081" s="322">
        <f t="shared" si="250"/>
        <v>0</v>
      </c>
      <c r="U1081" s="140" t="str">
        <f t="shared" si="251"/>
        <v/>
      </c>
      <c r="V1081" s="322">
        <f t="shared" si="260"/>
        <v>0</v>
      </c>
      <c r="W1081" s="140" t="str">
        <f t="shared" si="252"/>
        <v/>
      </c>
      <c r="X1081" s="322">
        <f t="shared" si="253"/>
        <v>0</v>
      </c>
      <c r="Y1081" s="140" t="str">
        <f t="shared" si="254"/>
        <v/>
      </c>
      <c r="Z1081" s="519">
        <v>0</v>
      </c>
      <c r="AA1081" s="111">
        <f t="shared" si="261"/>
        <v>0</v>
      </c>
      <c r="AB1081" s="111">
        <f t="shared" si="262"/>
        <v>0</v>
      </c>
    </row>
    <row r="1082" spans="1:28" ht="27.75" customHeight="1">
      <c r="A1082" s="114" t="s">
        <v>527</v>
      </c>
      <c r="B1082" s="125" t="s">
        <v>4</v>
      </c>
      <c r="C1082" s="97" t="s">
        <v>3190</v>
      </c>
      <c r="D1082" s="97" t="s">
        <v>3183</v>
      </c>
      <c r="E1082" s="559" t="s">
        <v>526</v>
      </c>
      <c r="F1082" s="540" t="s">
        <v>525</v>
      </c>
      <c r="G1082" s="555" t="s">
        <v>215</v>
      </c>
      <c r="H1082" s="555" t="s">
        <v>3140</v>
      </c>
      <c r="I1082" s="556" t="s">
        <v>3141</v>
      </c>
      <c r="J1082" s="542" t="s">
        <v>3566</v>
      </c>
      <c r="K1082" s="543" t="s">
        <v>3568</v>
      </c>
      <c r="L1082" s="95"/>
      <c r="M1082" s="104"/>
      <c r="N1082" s="137">
        <v>184385.31</v>
      </c>
      <c r="O1082" s="138">
        <v>186000</v>
      </c>
      <c r="P1082" s="138">
        <v>184000</v>
      </c>
      <c r="Q1082" s="138">
        <v>184000</v>
      </c>
      <c r="R1082" s="138">
        <v>184000</v>
      </c>
      <c r="S1082" s="139">
        <v>184000</v>
      </c>
      <c r="T1082" s="322">
        <f t="shared" si="250"/>
        <v>-385.30999999999767</v>
      </c>
      <c r="U1082" s="140">
        <f t="shared" si="251"/>
        <v>-2.0897000959566557E-3</v>
      </c>
      <c r="V1082" s="322">
        <f t="shared" si="260"/>
        <v>-2000</v>
      </c>
      <c r="W1082" s="140">
        <f t="shared" si="252"/>
        <v>-1.0752688172043012E-2</v>
      </c>
      <c r="X1082" s="322">
        <f t="shared" si="253"/>
        <v>0</v>
      </c>
      <c r="Y1082" s="140">
        <f t="shared" si="254"/>
        <v>0</v>
      </c>
      <c r="Z1082" s="519">
        <v>138000</v>
      </c>
      <c r="AA1082" s="111">
        <f t="shared" si="261"/>
        <v>184000</v>
      </c>
      <c r="AB1082" s="111">
        <f t="shared" si="262"/>
        <v>0</v>
      </c>
    </row>
    <row r="1083" spans="1:28" ht="36" customHeight="1">
      <c r="A1083" s="115" t="s">
        <v>528</v>
      </c>
      <c r="B1083" s="124" t="s">
        <v>4</v>
      </c>
      <c r="C1083" s="101" t="s">
        <v>3191</v>
      </c>
      <c r="D1083" s="101" t="s">
        <v>3185</v>
      </c>
      <c r="E1083" s="554" t="s">
        <v>530</v>
      </c>
      <c r="F1083" s="534" t="s">
        <v>529</v>
      </c>
      <c r="G1083" s="555"/>
      <c r="H1083" s="555"/>
      <c r="I1083" s="556"/>
      <c r="J1083" s="557"/>
      <c r="K1083" s="558"/>
      <c r="L1083" s="95"/>
      <c r="M1083" s="104"/>
      <c r="N1083" s="137">
        <v>0</v>
      </c>
      <c r="O1083" s="138">
        <v>0</v>
      </c>
      <c r="P1083" s="138">
        <v>0</v>
      </c>
      <c r="Q1083" s="138">
        <v>0</v>
      </c>
      <c r="R1083" s="138">
        <v>0</v>
      </c>
      <c r="S1083" s="139">
        <v>0</v>
      </c>
      <c r="T1083" s="322">
        <f t="shared" si="250"/>
        <v>0</v>
      </c>
      <c r="U1083" s="140" t="str">
        <f t="shared" si="251"/>
        <v/>
      </c>
      <c r="V1083" s="322">
        <f t="shared" si="260"/>
        <v>0</v>
      </c>
      <c r="W1083" s="140" t="str">
        <f t="shared" si="252"/>
        <v/>
      </c>
      <c r="X1083" s="322">
        <f t="shared" si="253"/>
        <v>0</v>
      </c>
      <c r="Y1083" s="140" t="str">
        <f t="shared" si="254"/>
        <v/>
      </c>
      <c r="Z1083" s="519">
        <v>0</v>
      </c>
      <c r="AA1083" s="111">
        <f t="shared" si="261"/>
        <v>0</v>
      </c>
      <c r="AB1083" s="111">
        <f t="shared" si="262"/>
        <v>0</v>
      </c>
    </row>
    <row r="1084" spans="1:28" ht="27.75" customHeight="1">
      <c r="A1084" s="114" t="s">
        <v>531</v>
      </c>
      <c r="B1084" s="125" t="s">
        <v>4</v>
      </c>
      <c r="C1084" s="97" t="s">
        <v>3191</v>
      </c>
      <c r="D1084" s="97" t="s">
        <v>3183</v>
      </c>
      <c r="E1084" s="559" t="s">
        <v>530</v>
      </c>
      <c r="F1084" s="540" t="s">
        <v>529</v>
      </c>
      <c r="G1084" s="511" t="s">
        <v>215</v>
      </c>
      <c r="H1084" s="511" t="s">
        <v>3140</v>
      </c>
      <c r="I1084" s="544" t="s">
        <v>3141</v>
      </c>
      <c r="J1084" s="542" t="s">
        <v>3566</v>
      </c>
      <c r="K1084" s="543" t="s">
        <v>3568</v>
      </c>
      <c r="L1084" s="95"/>
      <c r="M1084" s="104"/>
      <c r="N1084" s="137">
        <v>1140697.5</v>
      </c>
      <c r="O1084" s="138">
        <v>1145000</v>
      </c>
      <c r="P1084" s="138">
        <v>1140000</v>
      </c>
      <c r="Q1084" s="138">
        <v>1140000</v>
      </c>
      <c r="R1084" s="138">
        <v>1140000</v>
      </c>
      <c r="S1084" s="139">
        <v>1140000</v>
      </c>
      <c r="T1084" s="322">
        <f t="shared" si="250"/>
        <v>-697.5</v>
      </c>
      <c r="U1084" s="140">
        <f t="shared" si="251"/>
        <v>-6.1146798340489038E-4</v>
      </c>
      <c r="V1084" s="322">
        <f t="shared" si="260"/>
        <v>-5000</v>
      </c>
      <c r="W1084" s="140">
        <f t="shared" si="252"/>
        <v>-4.3668122270742356E-3</v>
      </c>
      <c r="X1084" s="322">
        <f t="shared" si="253"/>
        <v>0</v>
      </c>
      <c r="Y1084" s="140">
        <f t="shared" si="254"/>
        <v>0</v>
      </c>
      <c r="Z1084" s="519">
        <v>855000</v>
      </c>
      <c r="AA1084" s="111">
        <f t="shared" si="261"/>
        <v>1140000</v>
      </c>
      <c r="AB1084" s="111">
        <f t="shared" si="262"/>
        <v>0</v>
      </c>
    </row>
    <row r="1085" spans="1:28" ht="27.75" customHeight="1">
      <c r="A1085" s="115" t="s">
        <v>532</v>
      </c>
      <c r="B1085" s="124" t="s">
        <v>4</v>
      </c>
      <c r="C1085" s="101" t="s">
        <v>3194</v>
      </c>
      <c r="D1085" s="101" t="s">
        <v>3185</v>
      </c>
      <c r="E1085" s="534" t="s">
        <v>534</v>
      </c>
      <c r="F1085" s="534" t="s">
        <v>533</v>
      </c>
      <c r="G1085" s="555"/>
      <c r="H1085" s="555"/>
      <c r="I1085" s="556"/>
      <c r="J1085" s="557"/>
      <c r="K1085" s="558"/>
      <c r="L1085" s="95"/>
      <c r="M1085" s="104"/>
      <c r="N1085" s="137">
        <v>0</v>
      </c>
      <c r="O1085" s="138">
        <v>0</v>
      </c>
      <c r="P1085" s="138">
        <v>0</v>
      </c>
      <c r="Q1085" s="138">
        <v>0</v>
      </c>
      <c r="R1085" s="138">
        <v>0</v>
      </c>
      <c r="S1085" s="139">
        <v>0</v>
      </c>
      <c r="T1085" s="322">
        <f t="shared" si="250"/>
        <v>0</v>
      </c>
      <c r="U1085" s="140" t="str">
        <f t="shared" si="251"/>
        <v/>
      </c>
      <c r="V1085" s="322">
        <f t="shared" si="260"/>
        <v>0</v>
      </c>
      <c r="W1085" s="140" t="str">
        <f t="shared" si="252"/>
        <v/>
      </c>
      <c r="X1085" s="322">
        <f t="shared" si="253"/>
        <v>0</v>
      </c>
      <c r="Y1085" s="140" t="str">
        <f t="shared" si="254"/>
        <v/>
      </c>
      <c r="Z1085" s="519">
        <v>0</v>
      </c>
      <c r="AA1085" s="111">
        <f t="shared" si="261"/>
        <v>0</v>
      </c>
      <c r="AB1085" s="111">
        <f t="shared" si="262"/>
        <v>0</v>
      </c>
    </row>
    <row r="1086" spans="1:28" ht="27.75" customHeight="1">
      <c r="A1086" s="123" t="s">
        <v>535</v>
      </c>
      <c r="B1086" s="130" t="s">
        <v>4</v>
      </c>
      <c r="C1086" s="131" t="s">
        <v>3194</v>
      </c>
      <c r="D1086" s="131" t="s">
        <v>3183</v>
      </c>
      <c r="E1086" s="597" t="s">
        <v>4351</v>
      </c>
      <c r="F1086" s="597" t="s">
        <v>4352</v>
      </c>
      <c r="G1086" s="598" t="s">
        <v>221</v>
      </c>
      <c r="H1086" s="598" t="s">
        <v>3142</v>
      </c>
      <c r="I1086" s="599" t="s">
        <v>3143</v>
      </c>
      <c r="J1086" s="600" t="s">
        <v>3566</v>
      </c>
      <c r="K1086" s="543" t="s">
        <v>3568</v>
      </c>
      <c r="L1086" s="95"/>
      <c r="M1086" s="104"/>
      <c r="N1086" s="144">
        <v>440044.82</v>
      </c>
      <c r="O1086" s="145">
        <v>597000</v>
      </c>
      <c r="P1086" s="145">
        <v>440000</v>
      </c>
      <c r="Q1086" s="145">
        <v>440000</v>
      </c>
      <c r="R1086" s="145">
        <v>440000</v>
      </c>
      <c r="S1086" s="145">
        <v>440000</v>
      </c>
      <c r="T1086" s="325">
        <f t="shared" si="250"/>
        <v>-44.820000000006985</v>
      </c>
      <c r="U1086" s="146">
        <f t="shared" si="251"/>
        <v>-1.0185326122008887E-4</v>
      </c>
      <c r="V1086" s="325">
        <f t="shared" si="260"/>
        <v>-157000</v>
      </c>
      <c r="W1086" s="146">
        <f t="shared" si="252"/>
        <v>-0.26298157453936349</v>
      </c>
      <c r="X1086" s="325">
        <f t="shared" si="253"/>
        <v>0</v>
      </c>
      <c r="Y1086" s="146">
        <f t="shared" si="254"/>
        <v>0</v>
      </c>
      <c r="Z1086" s="519">
        <v>330000</v>
      </c>
      <c r="AA1086" s="111">
        <f t="shared" si="261"/>
        <v>440000</v>
      </c>
      <c r="AB1086" s="111">
        <f t="shared" si="262"/>
        <v>0</v>
      </c>
    </row>
    <row r="1087" spans="1:28" ht="12.75" customHeight="1" outlineLevel="1">
      <c r="M1087" s="95"/>
    </row>
    <row r="1088" spans="1:28" ht="12.75" customHeight="1" outlineLevel="1">
      <c r="E1088" s="164" t="s">
        <v>536</v>
      </c>
      <c r="M1088" s="111"/>
      <c r="N1088" s="111"/>
      <c r="O1088" s="111"/>
      <c r="P1088" s="111"/>
      <c r="Q1088" s="111"/>
      <c r="R1088" s="111"/>
      <c r="S1088" s="111"/>
    </row>
    <row r="1089" spans="5:25" ht="12.75" customHeight="1" outlineLevel="1">
      <c r="E1089" s="164" t="s">
        <v>537</v>
      </c>
      <c r="M1089" s="111"/>
      <c r="N1089" s="111"/>
      <c r="O1089" s="111"/>
      <c r="P1089" s="111"/>
      <c r="Q1089" s="111"/>
      <c r="R1089" s="111"/>
      <c r="S1089" s="111"/>
    </row>
    <row r="1090" spans="5:25">
      <c r="E1090" s="164"/>
      <c r="M1090" s="304"/>
      <c r="N1090" s="304"/>
      <c r="O1090" s="304"/>
      <c r="P1090" s="304"/>
      <c r="Q1090" s="304"/>
      <c r="R1090" s="304"/>
      <c r="S1090" s="304"/>
      <c r="T1090" s="304"/>
      <c r="U1090" s="304"/>
      <c r="V1090" s="304"/>
      <c r="W1090" s="304"/>
      <c r="X1090" s="304"/>
      <c r="Y1090" s="304"/>
    </row>
    <row r="1091" spans="5:25">
      <c r="E1091" s="164"/>
      <c r="M1091" s="304"/>
      <c r="N1091" s="304"/>
      <c r="O1091" s="304"/>
      <c r="P1091" s="304"/>
      <c r="Q1091" s="304"/>
      <c r="R1091" s="304"/>
      <c r="S1091" s="304"/>
      <c r="T1091" s="304"/>
      <c r="U1091" s="304"/>
      <c r="V1091" s="304"/>
      <c r="W1091" s="304"/>
      <c r="X1091" s="304"/>
      <c r="Y1091" s="304"/>
    </row>
    <row r="1092" spans="5:25">
      <c r="E1092" s="180" t="s">
        <v>538</v>
      </c>
      <c r="F1092" s="181" t="s">
        <v>3681</v>
      </c>
      <c r="G1092" s="182"/>
      <c r="H1092" s="182"/>
      <c r="I1092" s="183"/>
      <c r="J1092" s="184"/>
      <c r="K1092" s="179"/>
      <c r="L1092" s="179"/>
      <c r="M1092" s="179"/>
      <c r="N1092" s="326">
        <f t="shared" ref="N1092:T1092" si="268">SUM(N5:N853)</f>
        <v>1326260724.0400002</v>
      </c>
      <c r="O1092" s="195">
        <f t="shared" si="268"/>
        <v>1338951176</v>
      </c>
      <c r="P1092" s="329">
        <f t="shared" si="268"/>
        <v>1355209654.1400001</v>
      </c>
      <c r="Q1092" s="329">
        <f t="shared" si="268"/>
        <v>1390580542.5699999</v>
      </c>
      <c r="R1092" s="329">
        <f t="shared" si="268"/>
        <v>1425808500</v>
      </c>
      <c r="S1092" s="330">
        <f t="shared" si="268"/>
        <v>1454698497.76</v>
      </c>
      <c r="T1092" s="326">
        <f t="shared" si="268"/>
        <v>64319818.530000061</v>
      </c>
      <c r="U1092" s="198">
        <f>IF(N1092=0,"",T1092/N1092)</f>
        <v>4.8497114755891815E-2</v>
      </c>
      <c r="V1092" s="326">
        <f>SUM(V5:V853)</f>
        <v>51629366.569999993</v>
      </c>
      <c r="W1092" s="198">
        <f t="shared" ref="W1092:W1094" si="269">IF(O1092=0,"",V1092/O1092)</f>
        <v>3.8559558776622628E-2</v>
      </c>
      <c r="X1092" s="326">
        <f>SUM(X5:X854)</f>
        <v>35370888.429999992</v>
      </c>
      <c r="Y1092" s="198">
        <f t="shared" ref="Y1092:Y1094" si="270">IF(P1092=0,"",X1092/P1092)</f>
        <v>2.6099938354147822E-2</v>
      </c>
    </row>
    <row r="1093" spans="5:25">
      <c r="E1093" s="185" t="s">
        <v>539</v>
      </c>
      <c r="F1093" s="186" t="s">
        <v>3682</v>
      </c>
      <c r="G1093" s="187"/>
      <c r="H1093" s="187"/>
      <c r="I1093" s="188"/>
      <c r="J1093" s="189"/>
      <c r="K1093" s="179"/>
      <c r="L1093" s="179"/>
      <c r="M1093" s="179"/>
      <c r="N1093" s="327">
        <f t="shared" ref="N1093:T1093" si="271">SUM(N855:N1086)</f>
        <v>1343881747.6500001</v>
      </c>
      <c r="O1093" s="196">
        <f t="shared" si="271"/>
        <v>1338951176</v>
      </c>
      <c r="P1093" s="331">
        <f t="shared" si="271"/>
        <v>1376901214.5800002</v>
      </c>
      <c r="Q1093" s="331">
        <f t="shared" si="271"/>
        <v>1390580542.5699999</v>
      </c>
      <c r="R1093" s="331">
        <f t="shared" si="271"/>
        <v>1425808500</v>
      </c>
      <c r="S1093" s="332">
        <f t="shared" si="271"/>
        <v>1454698497.76</v>
      </c>
      <c r="T1093" s="327">
        <f t="shared" si="271"/>
        <v>46698794.920000002</v>
      </c>
      <c r="U1093" s="199">
        <f>IF(N1093=0,"",T1093/N1093)</f>
        <v>3.4749184592811518E-2</v>
      </c>
      <c r="V1093" s="327">
        <f>SUM(V855:V1086)</f>
        <v>51629366.569999978</v>
      </c>
      <c r="W1093" s="199">
        <f t="shared" si="269"/>
        <v>3.8559558776622621E-2</v>
      </c>
      <c r="X1093" s="327">
        <f>SUM(X855:X1087)</f>
        <v>13679327.989999888</v>
      </c>
      <c r="Y1093" s="199">
        <f t="shared" si="270"/>
        <v>9.9348652213750357E-3</v>
      </c>
    </row>
    <row r="1094" spans="5:25">
      <c r="E1094" s="190" t="s">
        <v>540</v>
      </c>
      <c r="F1094" s="191" t="s">
        <v>3683</v>
      </c>
      <c r="G1094" s="192"/>
      <c r="H1094" s="192"/>
      <c r="I1094" s="193"/>
      <c r="J1094" s="194"/>
      <c r="K1094" s="179"/>
      <c r="L1094" s="179"/>
      <c r="M1094" s="179"/>
      <c r="N1094" s="328">
        <f t="shared" ref="N1094:T1094" si="272">N1093-N1092</f>
        <v>17621023.609999895</v>
      </c>
      <c r="O1094" s="197">
        <f t="shared" si="272"/>
        <v>0</v>
      </c>
      <c r="P1094" s="333">
        <f t="shared" si="272"/>
        <v>21691560.440000057</v>
      </c>
      <c r="Q1094" s="333">
        <f t="shared" si="272"/>
        <v>0</v>
      </c>
      <c r="R1094" s="333">
        <f t="shared" si="272"/>
        <v>0</v>
      </c>
      <c r="S1094" s="334">
        <f t="shared" si="272"/>
        <v>0</v>
      </c>
      <c r="T1094" s="328">
        <f t="shared" si="272"/>
        <v>-17621023.610000059</v>
      </c>
      <c r="U1094" s="200">
        <f>IF(N1094=0,"",T1094/N1094)</f>
        <v>-1.0000000000000093</v>
      </c>
      <c r="V1094" s="328">
        <f t="shared" ref="V1094" si="273">V1093-V1092</f>
        <v>0</v>
      </c>
      <c r="W1094" s="200" t="str">
        <f t="shared" si="269"/>
        <v/>
      </c>
      <c r="X1094" s="328">
        <f t="shared" ref="X1094" si="274">X1093-X1092</f>
        <v>-21691560.440000102</v>
      </c>
      <c r="Y1094" s="200">
        <f t="shared" si="270"/>
        <v>-1.000000000000002</v>
      </c>
    </row>
    <row r="1095" spans="5:25">
      <c r="Q1095" s="111"/>
    </row>
  </sheetData>
  <autoFilter ref="A4:W1086" xr:uid="{00000000-0009-0000-0000-000000000000}"/>
  <mergeCells count="18">
    <mergeCell ref="N1:S1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T2:U2"/>
    <mergeCell ref="V2:W2"/>
    <mergeCell ref="X2:Y2"/>
    <mergeCell ref="T3:U3"/>
    <mergeCell ref="V3:W3"/>
    <mergeCell ref="X3:Y3"/>
  </mergeCells>
  <pageMargins left="0.23622047244094491" right="0.23622047244094491" top="0.51181102362204722" bottom="0.51181102362204722" header="0.59055118110236227" footer="0.35433070866141736"/>
  <pageSetup paperSize="9" scale="48" fitToHeight="0" orientation="landscape" r:id="rId1"/>
  <headerFooter alignWithMargins="0">
    <oddFooter>&amp;C&amp;"Verdana,Normale"pagina n. / Seite Nr. &amp;P/&amp;N</oddFooter>
  </headerFooter>
  <rowBreaks count="1" manualBreakCount="1">
    <brk id="853" max="16383" man="1"/>
  </rowBreaks>
  <colBreaks count="1" manualBreakCount="1">
    <brk id="10" max="10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89"/>
  <sheetViews>
    <sheetView showGridLines="0" view="pageBreakPreview" zoomScale="85" zoomScaleNormal="75" zoomScaleSheetLayoutView="85" workbookViewId="0">
      <pane xSplit="7" ySplit="8" topLeftCell="H9" activePane="bottomRight" state="frozen"/>
      <selection activeCell="C24" sqref="C24"/>
      <selection pane="topRight" activeCell="C24" sqref="C24"/>
      <selection pane="bottomLeft" activeCell="C24" sqref="C24"/>
      <selection pane="bottomRight" activeCell="C24" sqref="C24"/>
    </sheetView>
  </sheetViews>
  <sheetFormatPr defaultColWidth="10.42578125" defaultRowHeight="15" outlineLevelRow="1"/>
  <cols>
    <col min="1" max="1" width="10.42578125" style="64"/>
    <col min="2" max="2" width="4" style="93" customWidth="1"/>
    <col min="3" max="3" width="4.5703125" style="93" customWidth="1"/>
    <col min="4" max="4" width="2.5703125" style="93" customWidth="1"/>
    <col min="5" max="6" width="4" style="93" customWidth="1"/>
    <col min="7" max="7" width="59.5703125" style="64" customWidth="1"/>
    <col min="8" max="8" width="21.85546875" style="64" customWidth="1"/>
    <col min="9" max="9" width="22.42578125" style="64" customWidth="1"/>
    <col min="10" max="10" width="19" style="64" bestFit="1" customWidth="1"/>
    <col min="11" max="11" width="13.42578125" style="64" customWidth="1"/>
    <col min="12" max="12" width="10.42578125" style="64"/>
    <col min="13" max="13" width="23.42578125" style="64" customWidth="1"/>
    <col min="14" max="16384" width="10.42578125" style="64"/>
  </cols>
  <sheetData>
    <row r="1" spans="1:14" s="52" customFormat="1" ht="36.75" customHeight="1">
      <c r="B1" s="627" t="s">
        <v>1439</v>
      </c>
      <c r="C1" s="627"/>
      <c r="D1" s="627"/>
      <c r="E1" s="627"/>
      <c r="F1" s="627"/>
      <c r="G1" s="627"/>
      <c r="H1" s="627"/>
      <c r="I1" s="627"/>
      <c r="J1" s="627"/>
      <c r="K1" s="627"/>
      <c r="L1" s="53"/>
      <c r="M1" s="53"/>
      <c r="N1" s="53"/>
    </row>
    <row r="2" spans="1:14" s="52" customFormat="1">
      <c r="B2" s="54"/>
      <c r="C2" s="54"/>
      <c r="D2" s="54"/>
      <c r="E2" s="54"/>
      <c r="F2" s="54"/>
      <c r="G2" s="54"/>
    </row>
    <row r="3" spans="1:14" s="52" customFormat="1" ht="15.75" thickBot="1">
      <c r="B3" s="54"/>
      <c r="C3" s="54"/>
      <c r="D3" s="54"/>
      <c r="E3" s="54"/>
      <c r="F3" s="54"/>
      <c r="G3" s="54"/>
    </row>
    <row r="4" spans="1:14" s="55" customFormat="1" ht="27.6" customHeight="1">
      <c r="B4" s="56" t="s">
        <v>2845</v>
      </c>
      <c r="C4" s="57"/>
      <c r="D4" s="57"/>
      <c r="E4" s="57"/>
      <c r="F4" s="57"/>
      <c r="G4" s="57"/>
      <c r="H4" s="57"/>
      <c r="I4" s="57"/>
      <c r="J4" s="58" t="s">
        <v>2846</v>
      </c>
      <c r="K4" s="59"/>
      <c r="M4" s="57"/>
    </row>
    <row r="5" spans="1:14" s="55" customFormat="1" ht="27.6" customHeight="1" thickBot="1">
      <c r="B5" s="60"/>
      <c r="C5" s="61"/>
      <c r="D5" s="61"/>
      <c r="E5" s="61"/>
      <c r="F5" s="61"/>
      <c r="G5" s="61"/>
      <c r="H5" s="61"/>
      <c r="I5" s="61"/>
      <c r="J5" s="62"/>
      <c r="K5" s="63"/>
      <c r="M5" s="61"/>
    </row>
    <row r="6" spans="1:14" ht="15" customHeight="1" thickBot="1">
      <c r="B6" s="65"/>
      <c r="C6" s="65"/>
      <c r="D6" s="65"/>
      <c r="E6" s="65"/>
      <c r="F6" s="65"/>
      <c r="G6" s="65"/>
      <c r="H6" s="66"/>
    </row>
    <row r="7" spans="1:14" ht="39.75" customHeight="1">
      <c r="B7" s="67" t="s">
        <v>3684</v>
      </c>
      <c r="C7" s="68"/>
      <c r="D7" s="68"/>
      <c r="E7" s="68"/>
      <c r="F7" s="68"/>
      <c r="G7" s="69"/>
      <c r="H7" s="70" t="s">
        <v>2847</v>
      </c>
      <c r="I7" s="70" t="s">
        <v>2847</v>
      </c>
      <c r="J7" s="71" t="str">
        <f>CONCATENATE("VARIAZIONE ",  H8, " / ", I8)</f>
        <v>VARIAZIONE 2020 / 2019</v>
      </c>
      <c r="K7" s="72"/>
      <c r="M7" s="70" t="s">
        <v>2847</v>
      </c>
    </row>
    <row r="8" spans="1:14" ht="23.25" customHeight="1">
      <c r="B8" s="73"/>
      <c r="C8" s="74"/>
      <c r="D8" s="74"/>
      <c r="E8" s="74"/>
      <c r="F8" s="74"/>
      <c r="G8" s="75"/>
      <c r="H8" s="76">
        <f>'pdc2019'!Q3</f>
        <v>2020</v>
      </c>
      <c r="I8" s="76">
        <f>'pdc2019'!P3</f>
        <v>2019</v>
      </c>
      <c r="J8" s="77" t="s">
        <v>2848</v>
      </c>
      <c r="K8" s="78" t="s">
        <v>3174</v>
      </c>
      <c r="M8" s="76">
        <f>IF('CE statale'!M8=0,"",'CE statale'!M8)</f>
        <v>2018</v>
      </c>
    </row>
    <row r="9" spans="1:14" s="79" customFormat="1">
      <c r="A9" s="209"/>
      <c r="B9" s="210" t="s">
        <v>3182</v>
      </c>
      <c r="C9" s="630" t="s">
        <v>1441</v>
      </c>
      <c r="D9" s="630"/>
      <c r="E9" s="630"/>
      <c r="F9" s="630"/>
      <c r="G9" s="631"/>
      <c r="H9" s="211"/>
      <c r="I9" s="211"/>
      <c r="J9" s="212"/>
      <c r="K9" s="213"/>
      <c r="L9" s="214"/>
      <c r="M9" s="211"/>
    </row>
    <row r="10" spans="1:14" s="79" customFormat="1">
      <c r="A10" s="209"/>
      <c r="B10" s="215"/>
      <c r="C10" s="216" t="s">
        <v>2849</v>
      </c>
      <c r="D10" s="628" t="s">
        <v>2850</v>
      </c>
      <c r="E10" s="628"/>
      <c r="F10" s="628"/>
      <c r="G10" s="629"/>
      <c r="H10" s="217">
        <f>H11+H12+H19+H24</f>
        <v>1252767942.5699999</v>
      </c>
      <c r="I10" s="217">
        <f>I11+I12+I19+I24</f>
        <v>1238103106.9300001</v>
      </c>
      <c r="J10" s="218">
        <f t="shared" ref="J10:J36" si="0">H10-I10</f>
        <v>14664835.639999866</v>
      </c>
      <c r="K10" s="219">
        <f t="shared" ref="K10:K36" si="1">IF(I10=0,"-    ",J10/I10)</f>
        <v>1.1844599660494179E-2</v>
      </c>
      <c r="L10" s="214"/>
      <c r="M10" s="220">
        <f>M11+M12+M19+M24</f>
        <v>1197309589.2400002</v>
      </c>
    </row>
    <row r="11" spans="1:14" s="55" customFormat="1" ht="30" hidden="1" customHeight="1" outlineLevel="1">
      <c r="A11" s="209" t="s">
        <v>451</v>
      </c>
      <c r="B11" s="221"/>
      <c r="C11" s="222"/>
      <c r="D11" s="223"/>
      <c r="E11" s="222" t="s">
        <v>2851</v>
      </c>
      <c r="F11" s="625" t="s">
        <v>2852</v>
      </c>
      <c r="G11" s="626"/>
      <c r="H11" s="225">
        <f>SUMIF('pdc2019'!$J$8:$J$1169,'CE sintesi'!$A11,'pdc2019'!$Q$8:$Q$1169)</f>
        <v>1203982641.27</v>
      </c>
      <c r="I11" s="225">
        <f>SUMIF('pdc2019'!$J$8:$J$1169,'CE sintesi'!$A11,'pdc2019'!$P$8:$P$1169)</f>
        <v>1214399062.9400001</v>
      </c>
      <c r="J11" s="226">
        <f t="shared" si="0"/>
        <v>-10416421.670000076</v>
      </c>
      <c r="K11" s="227">
        <f t="shared" si="1"/>
        <v>-8.5774289423300731E-3</v>
      </c>
      <c r="L11" s="209"/>
      <c r="M11" s="228">
        <f>SUMIF('pdc2019'!$J$8:$J$1169,'CE sintesi'!$A11,'pdc2019'!$N$8:$N$1169)</f>
        <v>1175424308.7</v>
      </c>
    </row>
    <row r="12" spans="1:14" s="55" customFormat="1" hidden="1" outlineLevel="1">
      <c r="A12" s="209"/>
      <c r="B12" s="221"/>
      <c r="C12" s="222"/>
      <c r="D12" s="223"/>
      <c r="E12" s="222" t="s">
        <v>2853</v>
      </c>
      <c r="F12" s="625" t="s">
        <v>2854</v>
      </c>
      <c r="G12" s="626"/>
      <c r="H12" s="225">
        <f>SUM(H13:H18)</f>
        <v>48288000</v>
      </c>
      <c r="I12" s="225">
        <f>SUM(I13:I18)</f>
        <v>23423000</v>
      </c>
      <c r="J12" s="226">
        <f t="shared" si="0"/>
        <v>24865000</v>
      </c>
      <c r="K12" s="227">
        <f t="shared" si="1"/>
        <v>1.0615634205695257</v>
      </c>
      <c r="L12" s="209"/>
      <c r="M12" s="228">
        <f>SUM(M13:M18)</f>
        <v>21792095.649999999</v>
      </c>
    </row>
    <row r="13" spans="1:14" s="80" customFormat="1" hidden="1" outlineLevel="1">
      <c r="A13" s="209" t="s">
        <v>2855</v>
      </c>
      <c r="B13" s="229"/>
      <c r="C13" s="230"/>
      <c r="D13" s="231"/>
      <c r="E13" s="230"/>
      <c r="F13" s="232" t="s">
        <v>2849</v>
      </c>
      <c r="G13" s="236" t="s">
        <v>2856</v>
      </c>
      <c r="H13" s="233">
        <f>SUMIF('pdc2019'!$J$8:$J$1169,'CE sintesi'!$A13,'pdc2019'!$Q$8:$Q$1169)</f>
        <v>0</v>
      </c>
      <c r="I13" s="233">
        <f>SUMIF('pdc2019'!$J$8:$J$1169,'CE sintesi'!$A13,'pdc2019'!$P$8:$P$1169)</f>
        <v>0</v>
      </c>
      <c r="J13" s="233">
        <f t="shared" si="0"/>
        <v>0</v>
      </c>
      <c r="K13" s="227" t="str">
        <f t="shared" si="1"/>
        <v xml:space="preserve">-    </v>
      </c>
      <c r="L13" s="234"/>
      <c r="M13" s="235">
        <f>SUMIF('pdc2019'!$J$8:$J$1169,'CE sintesi'!$A13,'pdc2019'!$N$8:$N$1169)</f>
        <v>0</v>
      </c>
    </row>
    <row r="14" spans="1:14" s="80" customFormat="1" ht="30" hidden="1" customHeight="1" outlineLevel="1">
      <c r="A14" s="234" t="s">
        <v>2857</v>
      </c>
      <c r="B14" s="229"/>
      <c r="C14" s="230"/>
      <c r="D14" s="231"/>
      <c r="E14" s="230"/>
      <c r="F14" s="232" t="s">
        <v>2858</v>
      </c>
      <c r="G14" s="236" t="s">
        <v>2859</v>
      </c>
      <c r="H14" s="233">
        <f>SUMIF('pdc2019'!$J$8:$J$1169,'CE sintesi'!$A14,'pdc2019'!$Q$8:$Q$1169)</f>
        <v>0</v>
      </c>
      <c r="I14" s="233">
        <f>SUMIF('pdc2019'!$J$8:$J$1169,'CE sintesi'!$A14,'pdc2019'!$P$8:$P$1169)</f>
        <v>0</v>
      </c>
      <c r="J14" s="233">
        <f t="shared" si="0"/>
        <v>0</v>
      </c>
      <c r="K14" s="227" t="str">
        <f t="shared" si="1"/>
        <v xml:space="preserve">-    </v>
      </c>
      <c r="L14" s="234"/>
      <c r="M14" s="235">
        <f>SUMIF('pdc2019'!$J$8:$J$1169,'CE sintesi'!$A14,'pdc2019'!$N$8:$N$1169)</f>
        <v>0</v>
      </c>
    </row>
    <row r="15" spans="1:14" s="80" customFormat="1" ht="30" hidden="1" customHeight="1" outlineLevel="1">
      <c r="A15" s="209" t="s">
        <v>2860</v>
      </c>
      <c r="B15" s="229"/>
      <c r="C15" s="230"/>
      <c r="D15" s="231"/>
      <c r="E15" s="230"/>
      <c r="F15" s="232" t="s">
        <v>2861</v>
      </c>
      <c r="G15" s="236" t="s">
        <v>2862</v>
      </c>
      <c r="H15" s="233">
        <f>SUMIF('pdc2019'!$J$8:$J$1169,'CE sintesi'!$A15,'pdc2019'!$Q$8:$Q$1169)</f>
        <v>48288000</v>
      </c>
      <c r="I15" s="233">
        <f>SUMIF('pdc2019'!$J$8:$J$1169,'CE sintesi'!$A15,'pdc2019'!$P$8:$P$1169)</f>
        <v>22823000</v>
      </c>
      <c r="J15" s="233">
        <f t="shared" si="0"/>
        <v>25465000</v>
      </c>
      <c r="K15" s="227">
        <f t="shared" si="1"/>
        <v>1.1157604171230775</v>
      </c>
      <c r="L15" s="234"/>
      <c r="M15" s="235">
        <f>SUMIF('pdc2019'!$J$8:$J$1169,'CE sintesi'!$A15,'pdc2019'!$N$8:$N$1169)</f>
        <v>21792095.649999999</v>
      </c>
    </row>
    <row r="16" spans="1:14" s="80" customFormat="1" hidden="1" outlineLevel="1">
      <c r="A16" s="234" t="s">
        <v>2863</v>
      </c>
      <c r="B16" s="229"/>
      <c r="C16" s="230"/>
      <c r="D16" s="231"/>
      <c r="E16" s="230"/>
      <c r="F16" s="232" t="s">
        <v>2864</v>
      </c>
      <c r="G16" s="236" t="s">
        <v>2865</v>
      </c>
      <c r="H16" s="233">
        <f>SUMIF('pdc2019'!$J$8:$J$1169,'CE sintesi'!$A16,'pdc2019'!$Q$8:$Q$1169)</f>
        <v>0</v>
      </c>
      <c r="I16" s="233">
        <f>SUMIF('pdc2019'!$J$8:$J$1169,'CE sintesi'!$A16,'pdc2019'!$P$8:$P$1169)</f>
        <v>600000</v>
      </c>
      <c r="J16" s="233">
        <f t="shared" si="0"/>
        <v>-600000</v>
      </c>
      <c r="K16" s="227">
        <f t="shared" si="1"/>
        <v>-1</v>
      </c>
      <c r="L16" s="234"/>
      <c r="M16" s="235">
        <f>SUMIF('pdc2019'!$J$8:$J$1169,'CE sintesi'!$A16,'pdc2019'!$N$8:$N$1169)</f>
        <v>0</v>
      </c>
    </row>
    <row r="17" spans="1:13" s="80" customFormat="1" hidden="1" outlineLevel="1">
      <c r="A17" s="209" t="s">
        <v>3536</v>
      </c>
      <c r="B17" s="229"/>
      <c r="C17" s="230"/>
      <c r="D17" s="231"/>
      <c r="E17" s="230"/>
      <c r="F17" s="232" t="s">
        <v>3537</v>
      </c>
      <c r="G17" s="236" t="s">
        <v>3538</v>
      </c>
      <c r="H17" s="233">
        <f>SUMIF('pdc2019'!$J$8:$J$1169,'CE sintesi'!$A17,'pdc2019'!$Q$8:$Q$1169)</f>
        <v>0</v>
      </c>
      <c r="I17" s="233">
        <f>SUMIF('pdc2019'!$J$8:$J$1169,'CE sintesi'!$A17,'pdc2019'!$P$8:$P$1169)</f>
        <v>0</v>
      </c>
      <c r="J17" s="233">
        <f t="shared" si="0"/>
        <v>0</v>
      </c>
      <c r="K17" s="237" t="str">
        <f t="shared" si="1"/>
        <v xml:space="preserve">-    </v>
      </c>
      <c r="L17" s="234"/>
      <c r="M17" s="235">
        <f>SUMIF('pdc2019'!$J$8:$J$1169,'CE sintesi'!$A17,'pdc2019'!$N$8:$N$1169)</f>
        <v>0</v>
      </c>
    </row>
    <row r="18" spans="1:13" s="80" customFormat="1" hidden="1" outlineLevel="1">
      <c r="A18" s="234" t="s">
        <v>3539</v>
      </c>
      <c r="B18" s="229"/>
      <c r="C18" s="230"/>
      <c r="D18" s="231"/>
      <c r="E18" s="230"/>
      <c r="F18" s="232" t="s">
        <v>3540</v>
      </c>
      <c r="G18" s="236" t="s">
        <v>3541</v>
      </c>
      <c r="H18" s="233">
        <f>SUMIF('pdc2019'!$J$8:$J$1169,'CE sintesi'!$A18,'pdc2019'!$Q$8:$Q$1169)</f>
        <v>0</v>
      </c>
      <c r="I18" s="233">
        <f>SUMIF('pdc2019'!$J$8:$J$1169,'CE sintesi'!$A18,'pdc2019'!$P$8:$P$1169)</f>
        <v>0</v>
      </c>
      <c r="J18" s="233">
        <f t="shared" si="0"/>
        <v>0</v>
      </c>
      <c r="K18" s="227" t="str">
        <f t="shared" si="1"/>
        <v xml:space="preserve">-    </v>
      </c>
      <c r="L18" s="234"/>
      <c r="M18" s="235">
        <f>SUMIF('pdc2019'!$J$8:$J$1169,'CE sintesi'!$A18,'pdc2019'!$N$8:$N$1169)</f>
        <v>0</v>
      </c>
    </row>
    <row r="19" spans="1:13" s="55" customFormat="1" hidden="1" outlineLevel="1">
      <c r="A19" s="209"/>
      <c r="B19" s="221"/>
      <c r="C19" s="222"/>
      <c r="D19" s="223"/>
      <c r="E19" s="222" t="s">
        <v>3542</v>
      </c>
      <c r="F19" s="625" t="s">
        <v>3543</v>
      </c>
      <c r="G19" s="626"/>
      <c r="H19" s="225">
        <f>SUM(H20:H23)</f>
        <v>497301.3</v>
      </c>
      <c r="I19" s="225">
        <f>SUM(I20:I23)</f>
        <v>281043.99</v>
      </c>
      <c r="J19" s="226">
        <f t="shared" si="0"/>
        <v>216257.31</v>
      </c>
      <c r="K19" s="227">
        <f t="shared" si="1"/>
        <v>0.76947850761725956</v>
      </c>
      <c r="L19" s="209"/>
      <c r="M19" s="228">
        <f>SUM(M20:M23)</f>
        <v>93184.89</v>
      </c>
    </row>
    <row r="20" spans="1:13" s="55" customFormat="1" hidden="1" outlineLevel="1">
      <c r="A20" s="209" t="s">
        <v>3544</v>
      </c>
      <c r="B20" s="221"/>
      <c r="C20" s="222"/>
      <c r="D20" s="223"/>
      <c r="E20" s="223"/>
      <c r="F20" s="238" t="s">
        <v>2849</v>
      </c>
      <c r="G20" s="236" t="s">
        <v>3545</v>
      </c>
      <c r="H20" s="233">
        <f>SUMIF('pdc2019'!$J$8:$J$1169,'CE sintesi'!$A20,'pdc2019'!$Q$8:$Q$1169)</f>
        <v>0</v>
      </c>
      <c r="I20" s="233">
        <f>SUMIF('pdc2019'!$J$8:$J$1169,'CE sintesi'!$A20,'pdc2019'!$P$8:$P$1169)</f>
        <v>0</v>
      </c>
      <c r="J20" s="233">
        <f t="shared" si="0"/>
        <v>0</v>
      </c>
      <c r="K20" s="239" t="str">
        <f t="shared" si="1"/>
        <v xml:space="preserve">-    </v>
      </c>
      <c r="L20" s="209"/>
      <c r="M20" s="228">
        <f>SUMIF('pdc2019'!$J$8:$J$1169,'CE sintesi'!$A20,'pdc2019'!$N$8:$N$1169)</f>
        <v>0</v>
      </c>
    </row>
    <row r="21" spans="1:13" s="55" customFormat="1" hidden="1" outlineLevel="1">
      <c r="A21" s="209" t="s">
        <v>3490</v>
      </c>
      <c r="B21" s="221"/>
      <c r="C21" s="222"/>
      <c r="D21" s="223"/>
      <c r="E21" s="223"/>
      <c r="F21" s="238" t="s">
        <v>2858</v>
      </c>
      <c r="G21" s="236" t="s">
        <v>3546</v>
      </c>
      <c r="H21" s="233">
        <f>SUMIF('pdc2019'!$J$8:$J$1169,'CE sintesi'!$A21,'pdc2019'!$Q$8:$Q$1169)</f>
        <v>47301.3</v>
      </c>
      <c r="I21" s="233">
        <f>SUMIF('pdc2019'!$J$8:$J$1169,'CE sintesi'!$A21,'pdc2019'!$P$8:$P$1169)</f>
        <v>81043.990000000005</v>
      </c>
      <c r="J21" s="233">
        <f t="shared" si="0"/>
        <v>-33742.69</v>
      </c>
      <c r="K21" s="239">
        <f t="shared" si="1"/>
        <v>-0.41635030555627878</v>
      </c>
      <c r="L21" s="209"/>
      <c r="M21" s="228">
        <f>SUMIF('pdc2019'!$J$8:$J$1169,'CE sintesi'!$A21,'pdc2019'!$N$8:$N$1169)</f>
        <v>47301.3</v>
      </c>
    </row>
    <row r="22" spans="1:13" s="55" customFormat="1" hidden="1" outlineLevel="1">
      <c r="A22" s="209" t="s">
        <v>3044</v>
      </c>
      <c r="B22" s="221"/>
      <c r="C22" s="222"/>
      <c r="D22" s="223"/>
      <c r="E22" s="223"/>
      <c r="F22" s="238" t="s">
        <v>2861</v>
      </c>
      <c r="G22" s="236" t="s">
        <v>3547</v>
      </c>
      <c r="H22" s="233">
        <f>SUMIF('pdc2019'!$J$8:$J$1169,'CE sintesi'!$A22,'pdc2019'!$Q$8:$Q$1169)</f>
        <v>450000</v>
      </c>
      <c r="I22" s="233">
        <f>SUMIF('pdc2019'!$J$8:$J$1169,'CE sintesi'!$A22,'pdc2019'!$P$8:$P$1169)</f>
        <v>200000</v>
      </c>
      <c r="J22" s="233">
        <f t="shared" si="0"/>
        <v>250000</v>
      </c>
      <c r="K22" s="239">
        <f t="shared" si="1"/>
        <v>1.25</v>
      </c>
      <c r="L22" s="209"/>
      <c r="M22" s="228">
        <f>SUMIF('pdc2019'!$J$8:$J$1169,'CE sintesi'!$A22,'pdc2019'!$N$8:$N$1169)</f>
        <v>45883.59</v>
      </c>
    </row>
    <row r="23" spans="1:13" s="55" customFormat="1" hidden="1" outlineLevel="1">
      <c r="A23" s="209" t="s">
        <v>3499</v>
      </c>
      <c r="B23" s="221"/>
      <c r="C23" s="222"/>
      <c r="D23" s="223"/>
      <c r="E23" s="223"/>
      <c r="F23" s="238" t="s">
        <v>2864</v>
      </c>
      <c r="G23" s="236" t="s">
        <v>3548</v>
      </c>
      <c r="H23" s="233">
        <f>SUMIF('pdc2019'!$J$8:$J$1169,'CE sintesi'!$A23,'pdc2019'!$Q$8:$Q$1169)</f>
        <v>0</v>
      </c>
      <c r="I23" s="233">
        <f>SUMIF('pdc2019'!$J$8:$J$1169,'CE sintesi'!$A23,'pdc2019'!$P$8:$P$1169)</f>
        <v>0</v>
      </c>
      <c r="J23" s="233">
        <f t="shared" si="0"/>
        <v>0</v>
      </c>
      <c r="K23" s="239" t="str">
        <f t="shared" si="1"/>
        <v xml:space="preserve">-    </v>
      </c>
      <c r="L23" s="209"/>
      <c r="M23" s="228">
        <f>SUMIF('pdc2019'!$J$8:$J$1169,'CE sintesi'!$A23,'pdc2019'!$N$8:$N$1169)</f>
        <v>0</v>
      </c>
    </row>
    <row r="24" spans="1:13" s="55" customFormat="1" hidden="1" outlineLevel="1">
      <c r="A24" s="209" t="s">
        <v>3549</v>
      </c>
      <c r="B24" s="221"/>
      <c r="C24" s="222"/>
      <c r="D24" s="223"/>
      <c r="E24" s="222" t="s">
        <v>3550</v>
      </c>
      <c r="F24" s="625" t="s">
        <v>3551</v>
      </c>
      <c r="G24" s="626"/>
      <c r="H24" s="225">
        <f>SUMIF('pdc2019'!$J$8:$J$1169,'CE sintesi'!$A24,'pdc2019'!$Q$8:$Q$1169)</f>
        <v>0</v>
      </c>
      <c r="I24" s="233">
        <f>SUMIF('pdc2019'!$J$8:$J$1169,'CE sintesi'!$A24,'pdc2019'!$P$8:$P$1169)</f>
        <v>0</v>
      </c>
      <c r="J24" s="226">
        <f t="shared" si="0"/>
        <v>0</v>
      </c>
      <c r="K24" s="227" t="str">
        <f t="shared" si="1"/>
        <v xml:space="preserve">-    </v>
      </c>
      <c r="L24" s="209"/>
      <c r="M24" s="228">
        <f>SUMIF('pdc2019'!$J$8:$J$1169,'CE sintesi'!$A24,'pdc2019'!$N$8:$N$1169)</f>
        <v>0</v>
      </c>
    </row>
    <row r="25" spans="1:13" s="79" customFormat="1" collapsed="1">
      <c r="A25" s="209" t="s">
        <v>3552</v>
      </c>
      <c r="B25" s="240"/>
      <c r="C25" s="216" t="s">
        <v>2858</v>
      </c>
      <c r="D25" s="628" t="s">
        <v>3553</v>
      </c>
      <c r="E25" s="628"/>
      <c r="F25" s="628"/>
      <c r="G25" s="629"/>
      <c r="H25" s="217">
        <f>SUMIF('pdc2019'!$J$8:$J$1169,'CE sintesi'!$A25,'pdc2019'!$Q$8:$Q$1169)</f>
        <v>0</v>
      </c>
      <c r="I25" s="217">
        <f>SUMIF('pdc2019'!$J$8:$J$1169,'CE sintesi'!$A25,'pdc2019'!$P$8:$P$1169)</f>
        <v>0</v>
      </c>
      <c r="J25" s="218">
        <f t="shared" si="0"/>
        <v>0</v>
      </c>
      <c r="K25" s="219" t="str">
        <f t="shared" si="1"/>
        <v xml:space="preserve">-    </v>
      </c>
      <c r="L25" s="214"/>
      <c r="M25" s="220">
        <f>SUMIF('pdc2019'!$J$8:$J$1169,'CE sintesi'!$A25,'pdc2019'!$N$8:$N$1169)</f>
        <v>-1628.07</v>
      </c>
    </row>
    <row r="26" spans="1:13" s="79" customFormat="1">
      <c r="A26" s="209" t="s">
        <v>3514</v>
      </c>
      <c r="B26" s="240"/>
      <c r="C26" s="216" t="s">
        <v>2861</v>
      </c>
      <c r="D26" s="628" t="s">
        <v>3554</v>
      </c>
      <c r="E26" s="628"/>
      <c r="F26" s="628"/>
      <c r="G26" s="629"/>
      <c r="H26" s="217">
        <f>SUMIF('pdc2019'!$J$8:$J$1169,'CE sintesi'!$A26,'pdc2019'!$Q$8:$Q$1169)</f>
        <v>0</v>
      </c>
      <c r="I26" s="217">
        <f>SUMIF('pdc2019'!$J$8:$J$1169,'CE sintesi'!$A26,'pdc2019'!$P$8:$P$1169)</f>
        <v>0</v>
      </c>
      <c r="J26" s="218">
        <f t="shared" si="0"/>
        <v>0</v>
      </c>
      <c r="K26" s="219" t="str">
        <f t="shared" si="1"/>
        <v xml:space="preserve">-    </v>
      </c>
      <c r="L26" s="214"/>
      <c r="M26" s="220">
        <f>SUMIF('pdc2019'!$J$8:$J$1169,'CE sintesi'!$A26,'pdc2019'!$N$8:$N$1169)</f>
        <v>0</v>
      </c>
    </row>
    <row r="27" spans="1:13" s="79" customFormat="1">
      <c r="A27" s="209"/>
      <c r="B27" s="215"/>
      <c r="C27" s="216" t="s">
        <v>2864</v>
      </c>
      <c r="D27" s="628" t="s">
        <v>3555</v>
      </c>
      <c r="E27" s="628"/>
      <c r="F27" s="628"/>
      <c r="G27" s="629"/>
      <c r="H27" s="217">
        <f>SUM(H28:H30)</f>
        <v>63818000</v>
      </c>
      <c r="I27" s="217">
        <f>SUM(I28:I30)</f>
        <v>62325000</v>
      </c>
      <c r="J27" s="218">
        <f t="shared" si="0"/>
        <v>1493000</v>
      </c>
      <c r="K27" s="219">
        <f t="shared" si="1"/>
        <v>2.3955074207781788E-2</v>
      </c>
      <c r="L27" s="214"/>
      <c r="M27" s="220">
        <f>SUM(M28:M30)</f>
        <v>62686886.729999997</v>
      </c>
    </row>
    <row r="28" spans="1:13" s="55" customFormat="1" ht="30" hidden="1" customHeight="1" outlineLevel="1">
      <c r="A28" s="209" t="s">
        <v>3305</v>
      </c>
      <c r="B28" s="221"/>
      <c r="C28" s="222"/>
      <c r="D28" s="223"/>
      <c r="E28" s="222" t="s">
        <v>2851</v>
      </c>
      <c r="F28" s="625" t="s">
        <v>3557</v>
      </c>
      <c r="G28" s="626"/>
      <c r="H28" s="225">
        <f>SUMIF('pdc2019'!$J$8:$J$1169,'CE sintesi'!$A28,'pdc2019'!$Q$8:$Q$1169)</f>
        <v>45979000</v>
      </c>
      <c r="I28" s="225">
        <f>SUMIF('pdc2019'!$J$8:$J$1169,'CE sintesi'!$A28,'pdc2019'!$P$8:$P$1169)</f>
        <v>44486000</v>
      </c>
      <c r="J28" s="226">
        <f t="shared" si="0"/>
        <v>1493000</v>
      </c>
      <c r="K28" s="227">
        <f t="shared" si="1"/>
        <v>3.3561120352470442E-2</v>
      </c>
      <c r="L28" s="209"/>
      <c r="M28" s="228">
        <f>SUMIF('pdc2019'!$J$8:$J$1169,'CE sintesi'!$A28,'pdc2019'!$N$8:$N$1169)</f>
        <v>44600647.119999997</v>
      </c>
    </row>
    <row r="29" spans="1:13" s="55" customFormat="1" hidden="1" outlineLevel="1">
      <c r="A29" s="209" t="s">
        <v>2946</v>
      </c>
      <c r="B29" s="221"/>
      <c r="C29" s="222"/>
      <c r="D29" s="223"/>
      <c r="E29" s="222" t="s">
        <v>2853</v>
      </c>
      <c r="F29" s="625" t="s">
        <v>3559</v>
      </c>
      <c r="G29" s="626"/>
      <c r="H29" s="225">
        <f>SUMIF('pdc2019'!$J$8:$J$1169,'CE sintesi'!$A29,'pdc2019'!$Q$8:$Q$1169)</f>
        <v>3455000</v>
      </c>
      <c r="I29" s="225">
        <f>SUMIF('pdc2019'!$J$8:$J$1169,'CE sintesi'!$A29,'pdc2019'!$P$8:$P$1169)</f>
        <v>3455000</v>
      </c>
      <c r="J29" s="226">
        <f t="shared" si="0"/>
        <v>0</v>
      </c>
      <c r="K29" s="227">
        <f t="shared" si="1"/>
        <v>0</v>
      </c>
      <c r="L29" s="209"/>
      <c r="M29" s="228">
        <f>SUMIF('pdc2019'!$J$8:$J$1169,'CE sintesi'!$A29,'pdc2019'!$N$8:$N$1169)</f>
        <v>3519111.9000000004</v>
      </c>
    </row>
    <row r="30" spans="1:13" s="55" customFormat="1" hidden="1" outlineLevel="1">
      <c r="A30" s="209" t="s">
        <v>2801</v>
      </c>
      <c r="B30" s="221"/>
      <c r="C30" s="222"/>
      <c r="D30" s="223"/>
      <c r="E30" s="222" t="s">
        <v>3542</v>
      </c>
      <c r="F30" s="625" t="s">
        <v>3561</v>
      </c>
      <c r="G30" s="626"/>
      <c r="H30" s="225">
        <f>SUMIF('pdc2019'!$J$8:$J$1169,'CE sintesi'!$A30,'pdc2019'!$Q$8:$Q$1169)</f>
        <v>14384000</v>
      </c>
      <c r="I30" s="225">
        <f>SUMIF('pdc2019'!$J$8:$J$1169,'CE sintesi'!$A30,'pdc2019'!$P$8:$P$1169)</f>
        <v>14384000</v>
      </c>
      <c r="J30" s="226">
        <f t="shared" si="0"/>
        <v>0</v>
      </c>
      <c r="K30" s="227">
        <f t="shared" si="1"/>
        <v>0</v>
      </c>
      <c r="L30" s="209"/>
      <c r="M30" s="228">
        <f>SUMIF('pdc2019'!$J$8:$J$1169,'CE sintesi'!$A30,'pdc2019'!$N$8:$N$1169)</f>
        <v>14567127.709999999</v>
      </c>
    </row>
    <row r="31" spans="1:13" s="79" customFormat="1" collapsed="1">
      <c r="A31" s="209" t="s">
        <v>3562</v>
      </c>
      <c r="B31" s="240"/>
      <c r="C31" s="216" t="s">
        <v>3537</v>
      </c>
      <c r="D31" s="628" t="s">
        <v>3563</v>
      </c>
      <c r="E31" s="628"/>
      <c r="F31" s="628"/>
      <c r="G31" s="629"/>
      <c r="H31" s="217">
        <f>SUMIF('pdc2019'!$J$8:$J$1169,'CE sintesi'!$A31,'pdc2019'!$Q$8:$Q$1169)</f>
        <v>18485000</v>
      </c>
      <c r="I31" s="217">
        <f>SUMIF('pdc2019'!$J$8:$J$1169,'CE sintesi'!$A31,'pdc2019'!$P$8:$P$1169)</f>
        <v>18485000</v>
      </c>
      <c r="J31" s="218">
        <f t="shared" si="0"/>
        <v>0</v>
      </c>
      <c r="K31" s="219">
        <f t="shared" si="1"/>
        <v>0</v>
      </c>
      <c r="L31" s="214"/>
      <c r="M31" s="220">
        <f>SUMIF('pdc2019'!$J$8:$J$1169,'CE sintesi'!$A31,'pdc2019'!$N$8:$N$1169)</f>
        <v>22147624.57</v>
      </c>
    </row>
    <row r="32" spans="1:13" s="79" customFormat="1">
      <c r="A32" s="209" t="s">
        <v>3564</v>
      </c>
      <c r="B32" s="240"/>
      <c r="C32" s="216" t="s">
        <v>3540</v>
      </c>
      <c r="D32" s="628" t="s">
        <v>3565</v>
      </c>
      <c r="E32" s="628"/>
      <c r="F32" s="628"/>
      <c r="G32" s="629"/>
      <c r="H32" s="217">
        <f>SUMIF('pdc2019'!$J$8:$J$1169,'CE sintesi'!$A32,'pdc2019'!$Q$8:$Q$1169)</f>
        <v>20300000</v>
      </c>
      <c r="I32" s="217">
        <f>SUMIF('pdc2019'!$J$8:$J$1169,'CE sintesi'!$A32,'pdc2019'!$P$8:$P$1169)</f>
        <v>20300000</v>
      </c>
      <c r="J32" s="218">
        <f t="shared" si="0"/>
        <v>0</v>
      </c>
      <c r="K32" s="219">
        <f t="shared" si="1"/>
        <v>0</v>
      </c>
      <c r="L32" s="214"/>
      <c r="M32" s="220">
        <f>SUMIF('pdc2019'!$J$8:$J$1169,'CE sintesi'!$A32,'pdc2019'!$N$8:$N$1169)</f>
        <v>20554351.309999999</v>
      </c>
    </row>
    <row r="33" spans="1:13" s="79" customFormat="1">
      <c r="A33" s="209" t="s">
        <v>3566</v>
      </c>
      <c r="B33" s="240"/>
      <c r="C33" s="216" t="s">
        <v>3567</v>
      </c>
      <c r="D33" s="628" t="s">
        <v>3568</v>
      </c>
      <c r="E33" s="628"/>
      <c r="F33" s="628"/>
      <c r="G33" s="629"/>
      <c r="H33" s="217">
        <f>SUMIF('pdc2019'!$J$8:$J$1169,'CE sintesi'!$A33,'pdc2019'!$Q$8:$Q$1169)</f>
        <v>25401000</v>
      </c>
      <c r="I33" s="217">
        <f>SUMIF('pdc2019'!$J$8:$J$1169,'CE sintesi'!$A33,'pdc2019'!$P$8:$P$1169)</f>
        <v>25401000</v>
      </c>
      <c r="J33" s="218">
        <f t="shared" si="0"/>
        <v>0</v>
      </c>
      <c r="K33" s="219">
        <f t="shared" si="1"/>
        <v>0</v>
      </c>
      <c r="L33" s="214"/>
      <c r="M33" s="220">
        <f>SUMIF('pdc2019'!$J$8:$J$1169,'CE sintesi'!$A33,'pdc2019'!$N$8:$N$1169)</f>
        <v>25402235.600000001</v>
      </c>
    </row>
    <row r="34" spans="1:13" s="79" customFormat="1">
      <c r="A34" s="209" t="s">
        <v>3569</v>
      </c>
      <c r="B34" s="240"/>
      <c r="C34" s="216" t="s">
        <v>3570</v>
      </c>
      <c r="D34" s="628" t="s">
        <v>3571</v>
      </c>
      <c r="E34" s="628"/>
      <c r="F34" s="628"/>
      <c r="G34" s="629"/>
      <c r="H34" s="217">
        <f>SUMIF('pdc2019'!$J$8:$J$1169,'CE sintesi'!$A34,'pdc2019'!$Q$8:$Q$1169)</f>
        <v>0</v>
      </c>
      <c r="I34" s="217">
        <f>SUMIF('pdc2019'!$J$8:$J$1169,'CE sintesi'!$A34,'pdc2019'!$P$8:$P$1169)</f>
        <v>0</v>
      </c>
      <c r="J34" s="218">
        <f t="shared" si="0"/>
        <v>0</v>
      </c>
      <c r="K34" s="219" t="str">
        <f t="shared" si="1"/>
        <v xml:space="preserve">-    </v>
      </c>
      <c r="L34" s="214"/>
      <c r="M34" s="220">
        <f>SUMIF('pdc2019'!$J$8:$J$1169,'CE sintesi'!$A34,'pdc2019'!$N$8:$N$1169)</f>
        <v>27185.11</v>
      </c>
    </row>
    <row r="35" spans="1:13" s="79" customFormat="1">
      <c r="A35" s="209" t="s">
        <v>3572</v>
      </c>
      <c r="B35" s="240"/>
      <c r="C35" s="216" t="s">
        <v>3573</v>
      </c>
      <c r="D35" s="628" t="s">
        <v>3574</v>
      </c>
      <c r="E35" s="628"/>
      <c r="F35" s="628"/>
      <c r="G35" s="629"/>
      <c r="H35" s="217">
        <f>SUMIF('pdc2019'!$J$8:$J$1169,'CE sintesi'!$A35,'pdc2019'!$Q$8:$Q$1169)</f>
        <v>4783600</v>
      </c>
      <c r="I35" s="217">
        <f>SUMIF('pdc2019'!$J$8:$J$1169,'CE sintesi'!$A35,'pdc2019'!$P$8:$P$1169)</f>
        <v>4803600</v>
      </c>
      <c r="J35" s="218">
        <f t="shared" si="0"/>
        <v>-20000</v>
      </c>
      <c r="K35" s="219">
        <f t="shared" si="1"/>
        <v>-4.1635440086601715E-3</v>
      </c>
      <c r="L35" s="214"/>
      <c r="M35" s="220">
        <f>SUMIF('pdc2019'!$J$8:$J$1169,'CE sintesi'!$A35,'pdc2019'!$N$8:$N$1169)</f>
        <v>4631908.5199999996</v>
      </c>
    </row>
    <row r="36" spans="1:13" s="79" customFormat="1">
      <c r="A36" s="209"/>
      <c r="B36" s="241"/>
      <c r="C36" s="242" t="s">
        <v>3575</v>
      </c>
      <c r="D36" s="242"/>
      <c r="E36" s="242"/>
      <c r="F36" s="242"/>
      <c r="G36" s="243"/>
      <c r="H36" s="244">
        <f>H10+H25+H26+H27+SUM(H31:H35)</f>
        <v>1385555542.5699999</v>
      </c>
      <c r="I36" s="244">
        <f>I10+I25+I26+I27+SUM(I31:I35)</f>
        <v>1369417706.9300001</v>
      </c>
      <c r="J36" s="245">
        <f t="shared" si="0"/>
        <v>16137835.639999866</v>
      </c>
      <c r="K36" s="246">
        <f t="shared" si="1"/>
        <v>1.178445083507656E-2</v>
      </c>
      <c r="L36" s="214"/>
      <c r="M36" s="247">
        <f>M10+M25+M26+M27+SUM(M31:M35)</f>
        <v>1332758153.0100002</v>
      </c>
    </row>
    <row r="37" spans="1:13" s="55" customFormat="1">
      <c r="A37" s="209"/>
      <c r="B37" s="248"/>
      <c r="C37" s="222"/>
      <c r="D37" s="223"/>
      <c r="E37" s="223"/>
      <c r="F37" s="223"/>
      <c r="G37" s="224"/>
      <c r="H37" s="225"/>
      <c r="I37" s="225"/>
      <c r="J37" s="226"/>
      <c r="K37" s="227"/>
      <c r="L37" s="209"/>
      <c r="M37" s="228"/>
    </row>
    <row r="38" spans="1:13" s="79" customFormat="1">
      <c r="A38" s="209"/>
      <c r="B38" s="215" t="s">
        <v>2135</v>
      </c>
      <c r="C38" s="630" t="s">
        <v>2178</v>
      </c>
      <c r="D38" s="630"/>
      <c r="E38" s="630"/>
      <c r="F38" s="630"/>
      <c r="G38" s="631"/>
      <c r="H38" s="217"/>
      <c r="I38" s="217"/>
      <c r="J38" s="218"/>
      <c r="K38" s="219"/>
      <c r="L38" s="214"/>
      <c r="M38" s="220"/>
    </row>
    <row r="39" spans="1:13" s="79" customFormat="1">
      <c r="A39" s="209"/>
      <c r="B39" s="240"/>
      <c r="C39" s="216" t="s">
        <v>2849</v>
      </c>
      <c r="D39" s="628" t="s">
        <v>2180</v>
      </c>
      <c r="E39" s="628"/>
      <c r="F39" s="628"/>
      <c r="G39" s="629"/>
      <c r="H39" s="217">
        <f>SUM(H40:H41)</f>
        <v>209161042.56999999</v>
      </c>
      <c r="I39" s="217">
        <f>SUM(I40:I41)</f>
        <v>201033500</v>
      </c>
      <c r="J39" s="218">
        <f t="shared" ref="J39:J86" si="2">H39-I39</f>
        <v>8127542.5699999928</v>
      </c>
      <c r="K39" s="219">
        <f t="shared" ref="K39:K86" si="3">IF(I39=0,"-    ",J39/I39)</f>
        <v>4.04287970412891E-2</v>
      </c>
      <c r="L39" s="214"/>
      <c r="M39" s="220">
        <f>SUM(M40:M41)</f>
        <v>189893103.14000005</v>
      </c>
    </row>
    <row r="40" spans="1:13" s="55" customFormat="1" hidden="1" outlineLevel="1">
      <c r="A40" s="209" t="s">
        <v>3631</v>
      </c>
      <c r="B40" s="221"/>
      <c r="C40" s="222"/>
      <c r="D40" s="223"/>
      <c r="E40" s="222" t="s">
        <v>2851</v>
      </c>
      <c r="F40" s="625" t="s">
        <v>3576</v>
      </c>
      <c r="G40" s="626"/>
      <c r="H40" s="225">
        <f>SUMIF('pdc2019'!$J$8:$J$1169,'CE sintesi'!$A40,'pdc2019'!$Q$8:$Q$1169)</f>
        <v>190041042.56999999</v>
      </c>
      <c r="I40" s="225">
        <f>SUMIF('pdc2019'!$J$8:$J$1169,'CE sintesi'!$A40,'pdc2019'!$P$8:$P$1169)</f>
        <v>182388500</v>
      </c>
      <c r="J40" s="226">
        <f t="shared" si="2"/>
        <v>7652542.5699999928</v>
      </c>
      <c r="K40" s="227">
        <f t="shared" si="3"/>
        <v>4.1957374341035719E-2</v>
      </c>
      <c r="L40" s="209"/>
      <c r="M40" s="228">
        <f>SUMIF('pdc2019'!$J$8:$J$1169,'CE sintesi'!$A40,'pdc2019'!$N$8:$N$1169)</f>
        <v>171947489.75000003</v>
      </c>
    </row>
    <row r="41" spans="1:13" s="55" customFormat="1" hidden="1" outlineLevel="1">
      <c r="A41" s="209" t="s">
        <v>3110</v>
      </c>
      <c r="B41" s="221"/>
      <c r="C41" s="222"/>
      <c r="D41" s="223"/>
      <c r="E41" s="222" t="s">
        <v>2853</v>
      </c>
      <c r="F41" s="625" t="s">
        <v>3577</v>
      </c>
      <c r="G41" s="626"/>
      <c r="H41" s="225">
        <f>SUMIF('pdc2019'!$J$8:$J$1169,'CE sintesi'!$A41,'pdc2019'!$Q$8:$Q$1169)</f>
        <v>19120000</v>
      </c>
      <c r="I41" s="225">
        <f>SUMIF('pdc2019'!$J$8:$J$1169,'CE sintesi'!$A41,'pdc2019'!$P$8:$P$1169)</f>
        <v>18645000</v>
      </c>
      <c r="J41" s="226">
        <f t="shared" si="2"/>
        <v>475000</v>
      </c>
      <c r="K41" s="227">
        <f t="shared" si="3"/>
        <v>2.5475998927326361E-2</v>
      </c>
      <c r="L41" s="209"/>
      <c r="M41" s="228">
        <f>SUMIF('pdc2019'!$J$8:$J$1169,'CE sintesi'!$A41,'pdc2019'!$N$8:$N$1169)</f>
        <v>17945613.390000001</v>
      </c>
    </row>
    <row r="42" spans="1:13" s="79" customFormat="1" collapsed="1">
      <c r="A42" s="209"/>
      <c r="B42" s="240"/>
      <c r="C42" s="216" t="s">
        <v>2858</v>
      </c>
      <c r="D42" s="628" t="s">
        <v>3578</v>
      </c>
      <c r="E42" s="628"/>
      <c r="F42" s="628"/>
      <c r="G42" s="629"/>
      <c r="H42" s="217">
        <f>SUM(H43:H59)</f>
        <v>357006000</v>
      </c>
      <c r="I42" s="217">
        <f>SUM(I43:I59)</f>
        <v>346270000</v>
      </c>
      <c r="J42" s="218">
        <f t="shared" si="2"/>
        <v>10736000</v>
      </c>
      <c r="K42" s="219">
        <f t="shared" si="3"/>
        <v>3.1004707309325093E-2</v>
      </c>
      <c r="L42" s="214"/>
      <c r="M42" s="220">
        <f>SUM(M43:M59)</f>
        <v>336772440.71000004</v>
      </c>
    </row>
    <row r="43" spans="1:13" s="55" customFormat="1" hidden="1" outlineLevel="1">
      <c r="A43" s="209" t="s">
        <v>2133</v>
      </c>
      <c r="B43" s="248"/>
      <c r="C43" s="222"/>
      <c r="D43" s="223"/>
      <c r="E43" s="222" t="s">
        <v>2851</v>
      </c>
      <c r="F43" s="625" t="s">
        <v>3579</v>
      </c>
      <c r="G43" s="626"/>
      <c r="H43" s="225">
        <f>SUMIF('pdc2019'!$J$8:$J$1169,'CE sintesi'!$A43,'pdc2019'!$Q$8:$Q$1169)</f>
        <v>65820000</v>
      </c>
      <c r="I43" s="225">
        <f>SUMIF('pdc2019'!$J$8:$J$1169,'CE sintesi'!$A43,'pdc2019'!$P$8:$P$1169)</f>
        <v>65542000</v>
      </c>
      <c r="J43" s="226">
        <f t="shared" si="2"/>
        <v>278000</v>
      </c>
      <c r="K43" s="227">
        <f t="shared" si="3"/>
        <v>4.2415550334136886E-3</v>
      </c>
      <c r="L43" s="209"/>
      <c r="M43" s="228">
        <f>SUMIF('pdc2019'!$J$8:$J$1169,'CE sintesi'!$A43,'pdc2019'!$N$8:$N$1169)</f>
        <v>62869563.25999999</v>
      </c>
    </row>
    <row r="44" spans="1:13" s="55" customFormat="1" hidden="1" outlineLevel="1">
      <c r="A44" s="209" t="s">
        <v>1376</v>
      </c>
      <c r="B44" s="248"/>
      <c r="C44" s="222"/>
      <c r="D44" s="223"/>
      <c r="E44" s="222" t="s">
        <v>2853</v>
      </c>
      <c r="F44" s="625" t="s">
        <v>3580</v>
      </c>
      <c r="G44" s="626"/>
      <c r="H44" s="225">
        <f>SUMIF('pdc2019'!$J$8:$J$1169,'CE sintesi'!$A44,'pdc2019'!$Q$8:$Q$1169)</f>
        <v>45548000</v>
      </c>
      <c r="I44" s="225">
        <f>SUMIF('pdc2019'!$J$8:$J$1169,'CE sintesi'!$A44,'pdc2019'!$P$8:$P$1169)</f>
        <v>45555000</v>
      </c>
      <c r="J44" s="226">
        <f t="shared" si="2"/>
        <v>-7000</v>
      </c>
      <c r="K44" s="227">
        <f t="shared" si="3"/>
        <v>-1.5366041049281087E-4</v>
      </c>
      <c r="L44" s="209"/>
      <c r="M44" s="228">
        <f>SUMIF('pdc2019'!$J$8:$J$1169,'CE sintesi'!$A44,'pdc2019'!$N$8:$N$1169)</f>
        <v>46305529.780000001</v>
      </c>
    </row>
    <row r="45" spans="1:13" s="55" customFormat="1" hidden="1" outlineLevel="1">
      <c r="A45" s="209" t="s">
        <v>2604</v>
      </c>
      <c r="B45" s="248"/>
      <c r="C45" s="222"/>
      <c r="D45" s="249"/>
      <c r="E45" s="222" t="s">
        <v>3542</v>
      </c>
      <c r="F45" s="625" t="s">
        <v>3581</v>
      </c>
      <c r="G45" s="626"/>
      <c r="H45" s="225">
        <f>SUMIF('pdc2019'!$J$8:$J$1169,'CE sintesi'!$A45,'pdc2019'!$Q$8:$Q$1169)</f>
        <v>17553000</v>
      </c>
      <c r="I45" s="225">
        <f>SUMIF('pdc2019'!$J$8:$J$1169,'CE sintesi'!$A45,'pdc2019'!$P$8:$P$1169)</f>
        <v>15234000</v>
      </c>
      <c r="J45" s="226">
        <f t="shared" si="2"/>
        <v>2319000</v>
      </c>
      <c r="K45" s="227">
        <f t="shared" si="3"/>
        <v>0.15222528554549036</v>
      </c>
      <c r="L45" s="209"/>
      <c r="M45" s="228">
        <f>SUMIF('pdc2019'!$J$8:$J$1169,'CE sintesi'!$A45,'pdc2019'!$N$8:$N$1169)</f>
        <v>12753148.77</v>
      </c>
    </row>
    <row r="46" spans="1:13" s="55" customFormat="1" hidden="1" outlineLevel="1">
      <c r="A46" s="209" t="s">
        <v>2024</v>
      </c>
      <c r="B46" s="248"/>
      <c r="C46" s="222"/>
      <c r="D46" s="249"/>
      <c r="E46" s="222" t="s">
        <v>3550</v>
      </c>
      <c r="F46" s="625" t="s">
        <v>3582</v>
      </c>
      <c r="G46" s="626"/>
      <c r="H46" s="225">
        <f>SUMIF('pdc2019'!$J$8:$J$1169,'CE sintesi'!$A46,'pdc2019'!$Q$8:$Q$1169)</f>
        <v>112000</v>
      </c>
      <c r="I46" s="225">
        <f>SUMIF('pdc2019'!$J$8:$J$1169,'CE sintesi'!$A46,'pdc2019'!$P$8:$P$1169)</f>
        <v>112000</v>
      </c>
      <c r="J46" s="226">
        <f t="shared" si="2"/>
        <v>0</v>
      </c>
      <c r="K46" s="227">
        <f t="shared" si="3"/>
        <v>0</v>
      </c>
      <c r="L46" s="209"/>
      <c r="M46" s="228">
        <f>SUMIF('pdc2019'!$J$8:$J$1169,'CE sintesi'!$A46,'pdc2019'!$N$8:$N$1169)</f>
        <v>98014.1</v>
      </c>
    </row>
    <row r="47" spans="1:13" s="55" customFormat="1" hidden="1" outlineLevel="1">
      <c r="A47" s="209" t="s">
        <v>2074</v>
      </c>
      <c r="B47" s="248"/>
      <c r="C47" s="222"/>
      <c r="D47" s="249"/>
      <c r="E47" s="222" t="s">
        <v>3583</v>
      </c>
      <c r="F47" s="625" t="s">
        <v>3584</v>
      </c>
      <c r="G47" s="626"/>
      <c r="H47" s="225">
        <f>SUMIF('pdc2019'!$J$8:$J$1169,'CE sintesi'!$A47,'pdc2019'!$Q$8:$Q$1169)</f>
        <v>28559000</v>
      </c>
      <c r="I47" s="225">
        <f>SUMIF('pdc2019'!$J$8:$J$1169,'CE sintesi'!$A47,'pdc2019'!$P$8:$P$1169)</f>
        <v>28018000</v>
      </c>
      <c r="J47" s="226">
        <f t="shared" si="2"/>
        <v>541000</v>
      </c>
      <c r="K47" s="227">
        <f t="shared" si="3"/>
        <v>1.9309015632807482E-2</v>
      </c>
      <c r="L47" s="209"/>
      <c r="M47" s="228">
        <f>SUMIF('pdc2019'!$J$8:$J$1169,'CE sintesi'!$A47,'pdc2019'!$N$8:$N$1169)</f>
        <v>27666808.720000003</v>
      </c>
    </row>
    <row r="48" spans="1:13" s="55" customFormat="1" hidden="1" outlineLevel="1">
      <c r="A48" s="209" t="s">
        <v>1951</v>
      </c>
      <c r="B48" s="248"/>
      <c r="C48" s="222"/>
      <c r="D48" s="249"/>
      <c r="E48" s="222" t="s">
        <v>3585</v>
      </c>
      <c r="F48" s="625" t="s">
        <v>3586</v>
      </c>
      <c r="G48" s="626"/>
      <c r="H48" s="225">
        <f>SUMIF('pdc2019'!$J$8:$J$1169,'CE sintesi'!$A48,'pdc2019'!$Q$8:$Q$1169)</f>
        <v>7786000</v>
      </c>
      <c r="I48" s="225">
        <f>SUMIF('pdc2019'!$J$8:$J$1169,'CE sintesi'!$A48,'pdc2019'!$P$8:$P$1169)</f>
        <v>7431000</v>
      </c>
      <c r="J48" s="226">
        <f t="shared" si="2"/>
        <v>355000</v>
      </c>
      <c r="K48" s="227">
        <f t="shared" si="3"/>
        <v>4.7772843493473285E-2</v>
      </c>
      <c r="L48" s="209"/>
      <c r="M48" s="228">
        <f>SUMIF('pdc2019'!$J$8:$J$1169,'CE sintesi'!$A48,'pdc2019'!$N$8:$N$1169)</f>
        <v>6737383.9000000004</v>
      </c>
    </row>
    <row r="49" spans="1:13" s="55" customFormat="1" hidden="1" outlineLevel="1">
      <c r="A49" s="209" t="s">
        <v>1921</v>
      </c>
      <c r="B49" s="248"/>
      <c r="C49" s="222"/>
      <c r="D49" s="249"/>
      <c r="E49" s="222" t="s">
        <v>3587</v>
      </c>
      <c r="F49" s="625" t="s">
        <v>3588</v>
      </c>
      <c r="G49" s="626"/>
      <c r="H49" s="225">
        <f>SUMIF('pdc2019'!$J$8:$J$1169,'CE sintesi'!$A49,'pdc2019'!$Q$8:$Q$1169)</f>
        <v>49974000</v>
      </c>
      <c r="I49" s="225">
        <f>SUMIF('pdc2019'!$J$8:$J$1169,'CE sintesi'!$A49,'pdc2019'!$P$8:$P$1169)</f>
        <v>48473000</v>
      </c>
      <c r="J49" s="226">
        <f t="shared" si="2"/>
        <v>1501000</v>
      </c>
      <c r="K49" s="227">
        <f t="shared" si="3"/>
        <v>3.0965692241041405E-2</v>
      </c>
      <c r="L49" s="209"/>
      <c r="M49" s="228">
        <f>SUMIF('pdc2019'!$J$8:$J$1169,'CE sintesi'!$A49,'pdc2019'!$N$8:$N$1169)</f>
        <v>45779234.760000005</v>
      </c>
    </row>
    <row r="50" spans="1:13" s="55" customFormat="1" hidden="1" outlineLevel="1">
      <c r="A50" s="209" t="s">
        <v>2003</v>
      </c>
      <c r="B50" s="248"/>
      <c r="C50" s="222"/>
      <c r="D50" s="249"/>
      <c r="E50" s="222" t="s">
        <v>3589</v>
      </c>
      <c r="F50" s="625" t="s">
        <v>3590</v>
      </c>
      <c r="G50" s="626"/>
      <c r="H50" s="225">
        <f>SUMIF('pdc2019'!$J$8:$J$1169,'CE sintesi'!$A50,'pdc2019'!$Q$8:$Q$1169)</f>
        <v>10171000</v>
      </c>
      <c r="I50" s="225">
        <f>SUMIF('pdc2019'!$J$8:$J$1169,'CE sintesi'!$A50,'pdc2019'!$P$8:$P$1169)</f>
        <v>10171000</v>
      </c>
      <c r="J50" s="226">
        <f t="shared" si="2"/>
        <v>0</v>
      </c>
      <c r="K50" s="227">
        <f t="shared" si="3"/>
        <v>0</v>
      </c>
      <c r="L50" s="209"/>
      <c r="M50" s="228">
        <f>SUMIF('pdc2019'!$J$8:$J$1169,'CE sintesi'!$A50,'pdc2019'!$N$8:$N$1169)</f>
        <v>10052103.300000001</v>
      </c>
    </row>
    <row r="51" spans="1:13" s="55" customFormat="1" hidden="1" outlineLevel="1">
      <c r="A51" s="209" t="s">
        <v>1395</v>
      </c>
      <c r="B51" s="248"/>
      <c r="C51" s="222"/>
      <c r="D51" s="249"/>
      <c r="E51" s="222" t="s">
        <v>3591</v>
      </c>
      <c r="F51" s="625" t="s">
        <v>3592</v>
      </c>
      <c r="G51" s="626"/>
      <c r="H51" s="225">
        <f>SUMIF('pdc2019'!$J$8:$J$1169,'CE sintesi'!$A51,'pdc2019'!$Q$8:$Q$1169)</f>
        <v>2817000</v>
      </c>
      <c r="I51" s="225">
        <f>SUMIF('pdc2019'!$J$8:$J$1169,'CE sintesi'!$A51,'pdc2019'!$P$8:$P$1169)</f>
        <v>3047000</v>
      </c>
      <c r="J51" s="226">
        <f t="shared" si="2"/>
        <v>-230000</v>
      </c>
      <c r="K51" s="227">
        <f t="shared" si="3"/>
        <v>-7.5484082704299307E-2</v>
      </c>
      <c r="L51" s="209"/>
      <c r="M51" s="228">
        <f>SUMIF('pdc2019'!$J$8:$J$1169,'CE sintesi'!$A51,'pdc2019'!$N$8:$N$1169)</f>
        <v>2635819.73</v>
      </c>
    </row>
    <row r="52" spans="1:13" s="55" customFormat="1" hidden="1" outlineLevel="1">
      <c r="A52" s="209" t="s">
        <v>3593</v>
      </c>
      <c r="B52" s="248"/>
      <c r="C52" s="222"/>
      <c r="D52" s="249"/>
      <c r="E52" s="222" t="s">
        <v>3594</v>
      </c>
      <c r="F52" s="625" t="s">
        <v>3595</v>
      </c>
      <c r="G52" s="626"/>
      <c r="H52" s="225">
        <f>SUMIF('pdc2019'!$J$8:$J$1169,'CE sintesi'!$A52,'pdc2019'!$Q$8:$Q$1169)</f>
        <v>532000</v>
      </c>
      <c r="I52" s="225">
        <f>SUMIF('pdc2019'!$J$8:$J$1169,'CE sintesi'!$A52,'pdc2019'!$P$8:$P$1169)</f>
        <v>707000</v>
      </c>
      <c r="J52" s="226">
        <f t="shared" si="2"/>
        <v>-175000</v>
      </c>
      <c r="K52" s="227">
        <f t="shared" si="3"/>
        <v>-0.24752475247524752</v>
      </c>
      <c r="L52" s="209"/>
      <c r="M52" s="228">
        <f>SUMIF('pdc2019'!$J$8:$J$1169,'CE sintesi'!$A52,'pdc2019'!$N$8:$N$1169)</f>
        <v>666963.43999999994</v>
      </c>
    </row>
    <row r="53" spans="1:13" s="55" customFormat="1" hidden="1" outlineLevel="1">
      <c r="A53" s="209" t="s">
        <v>3596</v>
      </c>
      <c r="B53" s="248"/>
      <c r="C53" s="222"/>
      <c r="D53" s="249"/>
      <c r="E53" s="222" t="s">
        <v>3597</v>
      </c>
      <c r="F53" s="625" t="s">
        <v>3598</v>
      </c>
      <c r="G53" s="626"/>
      <c r="H53" s="225">
        <f>SUMIF('pdc2019'!$J$8:$J$1169,'CE sintesi'!$A53,'pdc2019'!$Q$8:$Q$1169)</f>
        <v>33093000</v>
      </c>
      <c r="I53" s="225">
        <f>SUMIF('pdc2019'!$J$8:$J$1169,'CE sintesi'!$A53,'pdc2019'!$P$8:$P$1169)</f>
        <v>32175000</v>
      </c>
      <c r="J53" s="226">
        <f t="shared" si="2"/>
        <v>918000</v>
      </c>
      <c r="K53" s="227">
        <f t="shared" si="3"/>
        <v>2.8531468531468533E-2</v>
      </c>
      <c r="L53" s="209"/>
      <c r="M53" s="228">
        <f>SUMIF('pdc2019'!$J$8:$J$1169,'CE sintesi'!$A53,'pdc2019'!$N$8:$N$1169)</f>
        <v>31408484.32</v>
      </c>
    </row>
    <row r="54" spans="1:13" s="55" customFormat="1" hidden="1" outlineLevel="1">
      <c r="A54" s="209" t="s">
        <v>3599</v>
      </c>
      <c r="B54" s="248"/>
      <c r="C54" s="222"/>
      <c r="D54" s="249"/>
      <c r="E54" s="222" t="s">
        <v>3600</v>
      </c>
      <c r="F54" s="625" t="s">
        <v>3601</v>
      </c>
      <c r="G54" s="626"/>
      <c r="H54" s="225">
        <f>SUMIF('pdc2019'!$J$8:$J$1169,'CE sintesi'!$A54,'pdc2019'!$Q$8:$Q$1169)</f>
        <v>53623000</v>
      </c>
      <c r="I54" s="225">
        <f>SUMIF('pdc2019'!$J$8:$J$1169,'CE sintesi'!$A54,'pdc2019'!$P$8:$P$1169)</f>
        <v>52498000</v>
      </c>
      <c r="J54" s="226">
        <f t="shared" si="2"/>
        <v>1125000</v>
      </c>
      <c r="K54" s="227">
        <f t="shared" si="3"/>
        <v>2.1429387786201379E-2</v>
      </c>
      <c r="L54" s="209"/>
      <c r="M54" s="228">
        <f>SUMIF('pdc2019'!$J$8:$J$1169,'CE sintesi'!$A54,'pdc2019'!$N$8:$N$1169)</f>
        <v>50382651.090000018</v>
      </c>
    </row>
    <row r="55" spans="1:13" s="55" customFormat="1" hidden="1" outlineLevel="1">
      <c r="A55" s="209" t="s">
        <v>3602</v>
      </c>
      <c r="B55" s="248"/>
      <c r="C55" s="222"/>
      <c r="D55" s="249"/>
      <c r="E55" s="222" t="s">
        <v>3603</v>
      </c>
      <c r="F55" s="625" t="s">
        <v>2351</v>
      </c>
      <c r="G55" s="626"/>
      <c r="H55" s="225">
        <f>SUMIF('pdc2019'!$J$8:$J$1169,'CE sintesi'!$A55,'pdc2019'!$Q$8:$Q$1169)</f>
        <v>2532000</v>
      </c>
      <c r="I55" s="225">
        <f>SUMIF('pdc2019'!$J$8:$J$1169,'CE sintesi'!$A55,'pdc2019'!$P$8:$P$1169)</f>
        <v>2532000</v>
      </c>
      <c r="J55" s="226">
        <f t="shared" si="2"/>
        <v>0</v>
      </c>
      <c r="K55" s="227">
        <f t="shared" si="3"/>
        <v>0</v>
      </c>
      <c r="L55" s="209"/>
      <c r="M55" s="228">
        <f>SUMIF('pdc2019'!$J$8:$J$1169,'CE sintesi'!$A55,'pdc2019'!$N$8:$N$1169)</f>
        <v>2012204.97</v>
      </c>
    </row>
    <row r="56" spans="1:13" s="55" customFormat="1" hidden="1" outlineLevel="1">
      <c r="A56" s="209" t="s">
        <v>3604</v>
      </c>
      <c r="B56" s="248"/>
      <c r="C56" s="222"/>
      <c r="D56" s="249"/>
      <c r="E56" s="222" t="s">
        <v>3605</v>
      </c>
      <c r="F56" s="625" t="s">
        <v>3606</v>
      </c>
      <c r="G56" s="626"/>
      <c r="H56" s="225">
        <f>SUMIF('pdc2019'!$J$8:$J$1169,'CE sintesi'!$A56,'pdc2019'!$Q$8:$Q$1169)</f>
        <v>5903000</v>
      </c>
      <c r="I56" s="225">
        <f>SUMIF('pdc2019'!$J$8:$J$1169,'CE sintesi'!$A56,'pdc2019'!$P$8:$P$1169)</f>
        <v>5908000</v>
      </c>
      <c r="J56" s="226">
        <f t="shared" si="2"/>
        <v>-5000</v>
      </c>
      <c r="K56" s="227">
        <f t="shared" si="3"/>
        <v>-8.463100880162492E-4</v>
      </c>
      <c r="L56" s="209"/>
      <c r="M56" s="228">
        <f>SUMIF('pdc2019'!$J$8:$J$1169,'CE sintesi'!$A56,'pdc2019'!$N$8:$N$1169)</f>
        <v>5723289.1100000003</v>
      </c>
    </row>
    <row r="57" spans="1:13" s="55" customFormat="1" ht="30" hidden="1" customHeight="1" outlineLevel="1">
      <c r="A57" s="209" t="s">
        <v>3607</v>
      </c>
      <c r="B57" s="248"/>
      <c r="C57" s="250"/>
      <c r="D57" s="251"/>
      <c r="E57" s="222" t="s">
        <v>3608</v>
      </c>
      <c r="F57" s="625" t="s">
        <v>2868</v>
      </c>
      <c r="G57" s="626"/>
      <c r="H57" s="225">
        <f>SUMIF('pdc2019'!$J$8:$J$1169,'CE sintesi'!$A57,'pdc2019'!$Q$8:$Q$1169)</f>
        <v>2451000</v>
      </c>
      <c r="I57" s="225">
        <f>SUMIF('pdc2019'!$J$8:$J$1169,'CE sintesi'!$A57,'pdc2019'!$P$8:$P$1169)</f>
        <v>2412000</v>
      </c>
      <c r="J57" s="226">
        <f t="shared" si="2"/>
        <v>39000</v>
      </c>
      <c r="K57" s="227">
        <f t="shared" si="3"/>
        <v>1.6169154228855721E-2</v>
      </c>
      <c r="L57" s="209"/>
      <c r="M57" s="228">
        <f>SUMIF('pdc2019'!$J$8:$J$1169,'CE sintesi'!$A57,'pdc2019'!$N$8:$N$1169)</f>
        <v>2748896.5899999994</v>
      </c>
    </row>
    <row r="58" spans="1:13" s="55" customFormat="1" hidden="1" outlineLevel="1">
      <c r="A58" s="209" t="s">
        <v>2869</v>
      </c>
      <c r="B58" s="248"/>
      <c r="C58" s="250"/>
      <c r="D58" s="251"/>
      <c r="E58" s="222" t="s">
        <v>2870</v>
      </c>
      <c r="F58" s="625" t="s">
        <v>2871</v>
      </c>
      <c r="G58" s="626"/>
      <c r="H58" s="225">
        <f>SUMIF('pdc2019'!$J$8:$J$1169,'CE sintesi'!$A58,'pdc2019'!$Q$8:$Q$1169)</f>
        <v>30532000</v>
      </c>
      <c r="I58" s="225">
        <f>SUMIF('pdc2019'!$J$8:$J$1169,'CE sintesi'!$A58,'pdc2019'!$P$8:$P$1169)</f>
        <v>26455000</v>
      </c>
      <c r="J58" s="226">
        <f t="shared" si="2"/>
        <v>4077000</v>
      </c>
      <c r="K58" s="227">
        <f t="shared" si="3"/>
        <v>0.15411075411075412</v>
      </c>
      <c r="L58" s="209"/>
      <c r="M58" s="228">
        <f>SUMIF('pdc2019'!$J$8:$J$1169,'CE sintesi'!$A58,'pdc2019'!$N$8:$N$1169)</f>
        <v>28932344.870000001</v>
      </c>
    </row>
    <row r="59" spans="1:13" s="55" customFormat="1" hidden="1" outlineLevel="1">
      <c r="A59" s="209" t="s">
        <v>2872</v>
      </c>
      <c r="B59" s="248"/>
      <c r="C59" s="250"/>
      <c r="D59" s="251"/>
      <c r="E59" s="222" t="s">
        <v>2873</v>
      </c>
      <c r="F59" s="625" t="s">
        <v>2874</v>
      </c>
      <c r="G59" s="626"/>
      <c r="H59" s="225">
        <f>SUMIF('pdc2019'!$J$8:$J$1169,'CE sintesi'!$A59,'pdc2019'!$Q$8:$Q$1169)</f>
        <v>0</v>
      </c>
      <c r="I59" s="225">
        <f>SUMIF('pdc2019'!$J$8:$J$1169,'CE sintesi'!$A59,'pdc2019'!$P$8:$P$1169)</f>
        <v>0</v>
      </c>
      <c r="J59" s="226">
        <f t="shared" si="2"/>
        <v>0</v>
      </c>
      <c r="K59" s="227" t="str">
        <f t="shared" si="3"/>
        <v xml:space="preserve">-    </v>
      </c>
      <c r="L59" s="209"/>
      <c r="M59" s="228">
        <f>SUMIF('pdc2019'!$J$8:$J$1169,'CE sintesi'!$A59,'pdc2019'!$N$8:$N$1169)</f>
        <v>0</v>
      </c>
    </row>
    <row r="60" spans="1:13" s="55" customFormat="1" collapsed="1">
      <c r="A60" s="209"/>
      <c r="B60" s="248"/>
      <c r="C60" s="216" t="s">
        <v>2861</v>
      </c>
      <c r="D60" s="628" t="s">
        <v>2875</v>
      </c>
      <c r="E60" s="628"/>
      <c r="F60" s="628"/>
      <c r="G60" s="629"/>
      <c r="H60" s="217">
        <f>SUM(H61:H63)</f>
        <v>69865500</v>
      </c>
      <c r="I60" s="217">
        <f>SUM(I61:I63)</f>
        <v>67175000</v>
      </c>
      <c r="J60" s="218">
        <f t="shared" si="2"/>
        <v>2690500</v>
      </c>
      <c r="K60" s="219">
        <f t="shared" si="3"/>
        <v>4.005210271678452E-2</v>
      </c>
      <c r="L60" s="209"/>
      <c r="M60" s="220">
        <f>SUM(M61:M63)</f>
        <v>64452956.669999987</v>
      </c>
    </row>
    <row r="61" spans="1:13" s="55" customFormat="1" hidden="1" outlineLevel="1">
      <c r="A61" s="209" t="s">
        <v>2876</v>
      </c>
      <c r="B61" s="248"/>
      <c r="C61" s="216"/>
      <c r="D61" s="252"/>
      <c r="E61" s="222" t="s">
        <v>2851</v>
      </c>
      <c r="F61" s="625" t="s">
        <v>2877</v>
      </c>
      <c r="G61" s="626"/>
      <c r="H61" s="225">
        <f>SUMIF('pdc2019'!$J$8:$J$1169,'CE sintesi'!$A61,'pdc2019'!$Q$8:$Q$1169)</f>
        <v>66205500</v>
      </c>
      <c r="I61" s="225">
        <f>SUMIF('pdc2019'!$J$8:$J$1169,'CE sintesi'!$A61,'pdc2019'!$P$8:$P$1169)</f>
        <v>63535000</v>
      </c>
      <c r="J61" s="226">
        <f t="shared" si="2"/>
        <v>2670500</v>
      </c>
      <c r="K61" s="227">
        <f t="shared" si="3"/>
        <v>4.2031950893208471E-2</v>
      </c>
      <c r="L61" s="209"/>
      <c r="M61" s="228">
        <f>SUMIF('pdc2019'!$J$8:$J$1169,'CE sintesi'!$A61,'pdc2019'!$N$8:$N$1169)</f>
        <v>60874003.819999993</v>
      </c>
    </row>
    <row r="62" spans="1:13" s="55" customFormat="1" ht="30" hidden="1" customHeight="1" outlineLevel="1">
      <c r="A62" s="209" t="s">
        <v>2878</v>
      </c>
      <c r="B62" s="248"/>
      <c r="C62" s="253"/>
      <c r="D62" s="222"/>
      <c r="E62" s="222" t="s">
        <v>2853</v>
      </c>
      <c r="F62" s="625" t="s">
        <v>2879</v>
      </c>
      <c r="G62" s="626"/>
      <c r="H62" s="225">
        <f>SUMIF('pdc2019'!$J$8:$J$1169,'CE sintesi'!$A62,'pdc2019'!$Q$8:$Q$1169)</f>
        <v>321000</v>
      </c>
      <c r="I62" s="225">
        <f>SUMIF('pdc2019'!$J$8:$J$1169,'CE sintesi'!$A62,'pdc2019'!$P$8:$P$1169)</f>
        <v>301000</v>
      </c>
      <c r="J62" s="226">
        <f t="shared" si="2"/>
        <v>20000</v>
      </c>
      <c r="K62" s="227">
        <f t="shared" si="3"/>
        <v>6.6445182724252497E-2</v>
      </c>
      <c r="L62" s="209"/>
      <c r="M62" s="228">
        <f>SUMIF('pdc2019'!$J$8:$J$1169,'CE sintesi'!$A62,'pdc2019'!$N$8:$N$1169)</f>
        <v>239480.94</v>
      </c>
    </row>
    <row r="63" spans="1:13" s="55" customFormat="1" hidden="1" outlineLevel="1">
      <c r="A63" s="209" t="s">
        <v>2880</v>
      </c>
      <c r="B63" s="248"/>
      <c r="C63" s="253"/>
      <c r="D63" s="222"/>
      <c r="E63" s="222" t="s">
        <v>3542</v>
      </c>
      <c r="F63" s="625" t="s">
        <v>2881</v>
      </c>
      <c r="G63" s="626"/>
      <c r="H63" s="225">
        <f>SUMIF('pdc2019'!$J$8:$J$1169,'CE sintesi'!$A63,'pdc2019'!$Q$8:$Q$1169)</f>
        <v>3339000</v>
      </c>
      <c r="I63" s="225">
        <f>SUMIF('pdc2019'!$J$8:$J$1169,'CE sintesi'!$A63,'pdc2019'!$P$8:$P$1169)</f>
        <v>3339000</v>
      </c>
      <c r="J63" s="226">
        <f t="shared" si="2"/>
        <v>0</v>
      </c>
      <c r="K63" s="227">
        <f t="shared" si="3"/>
        <v>0</v>
      </c>
      <c r="L63" s="209"/>
      <c r="M63" s="228">
        <f>SUMIF('pdc2019'!$J$8:$J$1169,'CE sintesi'!$A63,'pdc2019'!$N$8:$N$1169)</f>
        <v>3339471.91</v>
      </c>
    </row>
    <row r="64" spans="1:13" s="55" customFormat="1" collapsed="1">
      <c r="A64" s="209" t="s">
        <v>2882</v>
      </c>
      <c r="B64" s="248"/>
      <c r="C64" s="216" t="s">
        <v>2864</v>
      </c>
      <c r="D64" s="628" t="s">
        <v>2883</v>
      </c>
      <c r="E64" s="628"/>
      <c r="F64" s="628"/>
      <c r="G64" s="629"/>
      <c r="H64" s="217">
        <f>SUMIF('pdc2019'!$J$8:$J$1169,'CE sintesi'!$A64,'pdc2019'!$Q$8:$Q$1169)</f>
        <v>24576000</v>
      </c>
      <c r="I64" s="217">
        <f>SUMIF('pdc2019'!$J$8:$J$1169,'CE sintesi'!$A64,'pdc2019'!$P$8:$P$1169)</f>
        <v>23450000</v>
      </c>
      <c r="J64" s="218">
        <f t="shared" si="2"/>
        <v>1126000</v>
      </c>
      <c r="K64" s="219">
        <f t="shared" si="3"/>
        <v>4.8017057569296376E-2</v>
      </c>
      <c r="L64" s="209"/>
      <c r="M64" s="220">
        <f>SUMIF('pdc2019'!$J$8:$J$1169,'CE sintesi'!$A64,'pdc2019'!$N$8:$N$1169)</f>
        <v>22081182.43</v>
      </c>
    </row>
    <row r="65" spans="1:13" s="79" customFormat="1">
      <c r="A65" s="209" t="s">
        <v>2715</v>
      </c>
      <c r="B65" s="248"/>
      <c r="C65" s="216" t="s">
        <v>3537</v>
      </c>
      <c r="D65" s="628" t="s">
        <v>1474</v>
      </c>
      <c r="E65" s="628"/>
      <c r="F65" s="628"/>
      <c r="G65" s="629"/>
      <c r="H65" s="217">
        <f>SUMIF('pdc2019'!$J$8:$J$1169,'CE sintesi'!$A65,'pdc2019'!$Q$8:$Q$1169)</f>
        <v>10024000</v>
      </c>
      <c r="I65" s="217">
        <f>SUMIF('pdc2019'!$J$8:$J$1169,'CE sintesi'!$A65,'pdc2019'!$P$8:$P$1169)</f>
        <v>9144000</v>
      </c>
      <c r="J65" s="218">
        <f t="shared" si="2"/>
        <v>880000</v>
      </c>
      <c r="K65" s="219">
        <f t="shared" si="3"/>
        <v>9.6237970253718289E-2</v>
      </c>
      <c r="L65" s="214"/>
      <c r="M65" s="220">
        <f>SUMIF('pdc2019'!$J$8:$J$1169,'CE sintesi'!$A65,'pdc2019'!$N$8:$N$1169)</f>
        <v>9338326.1600000001</v>
      </c>
    </row>
    <row r="66" spans="1:13" s="79" customFormat="1">
      <c r="A66" s="209"/>
      <c r="B66" s="248"/>
      <c r="C66" s="216" t="s">
        <v>3540</v>
      </c>
      <c r="D66" s="628" t="s">
        <v>1476</v>
      </c>
      <c r="E66" s="628"/>
      <c r="F66" s="628"/>
      <c r="G66" s="629"/>
      <c r="H66" s="217">
        <f>SUM(H67:H71)</f>
        <v>638988000</v>
      </c>
      <c r="I66" s="217">
        <f>SUM(I67:I71)</f>
        <v>627600000</v>
      </c>
      <c r="J66" s="218">
        <f t="shared" si="2"/>
        <v>11388000</v>
      </c>
      <c r="K66" s="219">
        <f t="shared" si="3"/>
        <v>1.81453154875717E-2</v>
      </c>
      <c r="L66" s="214"/>
      <c r="M66" s="220">
        <f>SUM(M67:M71)</f>
        <v>619511404.56999993</v>
      </c>
    </row>
    <row r="67" spans="1:13" s="55" customFormat="1" hidden="1" outlineLevel="1">
      <c r="A67" s="209" t="s">
        <v>1008</v>
      </c>
      <c r="B67" s="248"/>
      <c r="C67" s="222"/>
      <c r="D67" s="254"/>
      <c r="E67" s="222" t="s">
        <v>2851</v>
      </c>
      <c r="F67" s="625" t="s">
        <v>2884</v>
      </c>
      <c r="G67" s="626"/>
      <c r="H67" s="225">
        <f>SUMIF('pdc2019'!$J$8:$J$1169,'CE sintesi'!$A67,'pdc2019'!$Q$8:$Q$1169)</f>
        <v>223621000</v>
      </c>
      <c r="I67" s="225">
        <f>SUMIF('pdc2019'!$J$8:$J$1169,'CE sintesi'!$A67,'pdc2019'!$P$8:$P$1169)</f>
        <v>219904000</v>
      </c>
      <c r="J67" s="226">
        <f t="shared" si="2"/>
        <v>3717000</v>
      </c>
      <c r="K67" s="227">
        <f t="shared" si="3"/>
        <v>1.6902830325960419E-2</v>
      </c>
      <c r="L67" s="209"/>
      <c r="M67" s="228">
        <f>SUMIF('pdc2019'!$J$8:$J$1169,'CE sintesi'!$A67,'pdc2019'!$N$8:$N$1169)</f>
        <v>213860302.35000002</v>
      </c>
    </row>
    <row r="68" spans="1:13" s="55" customFormat="1" hidden="1" outlineLevel="1">
      <c r="A68" s="209" t="s">
        <v>1031</v>
      </c>
      <c r="B68" s="248"/>
      <c r="C68" s="222"/>
      <c r="D68" s="254"/>
      <c r="E68" s="222" t="s">
        <v>2853</v>
      </c>
      <c r="F68" s="625" t="s">
        <v>2885</v>
      </c>
      <c r="G68" s="626"/>
      <c r="H68" s="225">
        <f>SUMIF('pdc2019'!$J$8:$J$1169,'CE sintesi'!$A68,'pdc2019'!$Q$8:$Q$1169)</f>
        <v>31580000</v>
      </c>
      <c r="I68" s="225">
        <f>SUMIF('pdc2019'!$J$8:$J$1169,'CE sintesi'!$A68,'pdc2019'!$P$8:$P$1169)</f>
        <v>30921000</v>
      </c>
      <c r="J68" s="226">
        <f t="shared" si="2"/>
        <v>659000</v>
      </c>
      <c r="K68" s="227">
        <f t="shared" si="3"/>
        <v>2.1312376701917792E-2</v>
      </c>
      <c r="L68" s="209"/>
      <c r="M68" s="228">
        <f>SUMIF('pdc2019'!$J$8:$J$1169,'CE sintesi'!$A68,'pdc2019'!$N$8:$N$1169)</f>
        <v>29554009.040000003</v>
      </c>
    </row>
    <row r="69" spans="1:13" s="55" customFormat="1" hidden="1" outlineLevel="1">
      <c r="A69" s="209" t="s">
        <v>1063</v>
      </c>
      <c r="B69" s="248"/>
      <c r="C69" s="222"/>
      <c r="D69" s="254"/>
      <c r="E69" s="222" t="s">
        <v>3542</v>
      </c>
      <c r="F69" s="625" t="s">
        <v>2886</v>
      </c>
      <c r="G69" s="626"/>
      <c r="H69" s="225">
        <f>SUMIF('pdc2019'!$J$8:$J$1169,'CE sintesi'!$A69,'pdc2019'!$Q$8:$Q$1169)</f>
        <v>243780000</v>
      </c>
      <c r="I69" s="225">
        <f>SUMIF('pdc2019'!$J$8:$J$1169,'CE sintesi'!$A69,'pdc2019'!$P$8:$P$1169)</f>
        <v>239387000</v>
      </c>
      <c r="J69" s="226">
        <f t="shared" si="2"/>
        <v>4393000</v>
      </c>
      <c r="K69" s="227">
        <f t="shared" si="3"/>
        <v>1.8351038276932331E-2</v>
      </c>
      <c r="L69" s="209"/>
      <c r="M69" s="228">
        <f>SUMIF('pdc2019'!$J$8:$J$1169,'CE sintesi'!$A69,'pdc2019'!$N$8:$N$1169)</f>
        <v>239292462.52999994</v>
      </c>
    </row>
    <row r="70" spans="1:13" s="55" customFormat="1" hidden="1" outlineLevel="1">
      <c r="A70" s="209" t="s">
        <v>208</v>
      </c>
      <c r="B70" s="248"/>
      <c r="C70" s="222"/>
      <c r="D70" s="254"/>
      <c r="E70" s="222" t="s">
        <v>3550</v>
      </c>
      <c r="F70" s="625" t="s">
        <v>2887</v>
      </c>
      <c r="G70" s="626"/>
      <c r="H70" s="225">
        <f>SUMIF('pdc2019'!$J$8:$J$1169,'CE sintesi'!$A70,'pdc2019'!$Q$8:$Q$1169)</f>
        <v>9309000</v>
      </c>
      <c r="I70" s="225">
        <f>SUMIF('pdc2019'!$J$8:$J$1169,'CE sintesi'!$A70,'pdc2019'!$P$8:$P$1169)</f>
        <v>9254000</v>
      </c>
      <c r="J70" s="226">
        <f t="shared" si="2"/>
        <v>55000</v>
      </c>
      <c r="K70" s="227">
        <f t="shared" si="3"/>
        <v>5.9433758374756859E-3</v>
      </c>
      <c r="L70" s="209"/>
      <c r="M70" s="228">
        <f>SUMIF('pdc2019'!$J$8:$J$1169,'CE sintesi'!$A70,'pdc2019'!$N$8:$N$1169)</f>
        <v>8991652.7100000009</v>
      </c>
    </row>
    <row r="71" spans="1:13" s="55" customFormat="1" hidden="1" outlineLevel="1">
      <c r="A71" s="209" t="s">
        <v>2888</v>
      </c>
      <c r="B71" s="248"/>
      <c r="C71" s="222"/>
      <c r="D71" s="254"/>
      <c r="E71" s="222" t="s">
        <v>3583</v>
      </c>
      <c r="F71" s="625" t="s">
        <v>2889</v>
      </c>
      <c r="G71" s="626"/>
      <c r="H71" s="225">
        <f>SUMIF('pdc2019'!$J$8:$J$1169,'CE sintesi'!$A71,'pdc2019'!$Q$8:$Q$1169)</f>
        <v>130698000</v>
      </c>
      <c r="I71" s="225">
        <f>SUMIF('pdc2019'!$J$8:$J$1169,'CE sintesi'!$A71,'pdc2019'!$P$8:$P$1169)</f>
        <v>128134000</v>
      </c>
      <c r="J71" s="226">
        <f t="shared" si="2"/>
        <v>2564000</v>
      </c>
      <c r="K71" s="227">
        <f t="shared" si="3"/>
        <v>2.0010301715391698E-2</v>
      </c>
      <c r="L71" s="209"/>
      <c r="M71" s="228">
        <f>SUMIF('pdc2019'!$J$8:$J$1169,'CE sintesi'!$A71,'pdc2019'!$N$8:$N$1169)</f>
        <v>127812977.93999994</v>
      </c>
    </row>
    <row r="72" spans="1:13" s="55" customFormat="1" collapsed="1">
      <c r="A72" s="209" t="s">
        <v>196</v>
      </c>
      <c r="B72" s="248"/>
      <c r="C72" s="216" t="s">
        <v>3567</v>
      </c>
      <c r="D72" s="628" t="s">
        <v>2890</v>
      </c>
      <c r="E72" s="628"/>
      <c r="F72" s="628"/>
      <c r="G72" s="629"/>
      <c r="H72" s="217">
        <f>SUMIF('pdc2019'!$J$8:$J$1169,'CE sintesi'!$A72,'pdc2019'!$Q$8:$Q$1169)</f>
        <v>3526500</v>
      </c>
      <c r="I72" s="217">
        <f>SUMIF('pdc2019'!$J$8:$J$1169,'CE sintesi'!$A72,'pdc2019'!$P$8:$P$1169)</f>
        <v>3443000</v>
      </c>
      <c r="J72" s="218">
        <f t="shared" si="2"/>
        <v>83500</v>
      </c>
      <c r="K72" s="219">
        <f t="shared" si="3"/>
        <v>2.4252105721754284E-2</v>
      </c>
      <c r="L72" s="209"/>
      <c r="M72" s="228">
        <f>SUMIF('pdc2019'!$J$8:$J$1169,'CE sintesi'!$A72,'pdc2019'!$N$8:$N$1169)</f>
        <v>3413737.72</v>
      </c>
    </row>
    <row r="73" spans="1:13" s="79" customFormat="1">
      <c r="A73" s="209"/>
      <c r="B73" s="248"/>
      <c r="C73" s="216" t="s">
        <v>3570</v>
      </c>
      <c r="D73" s="628" t="s">
        <v>976</v>
      </c>
      <c r="E73" s="628"/>
      <c r="F73" s="628"/>
      <c r="G73" s="629"/>
      <c r="H73" s="217">
        <f>SUM(H74:H76)</f>
        <v>26864000</v>
      </c>
      <c r="I73" s="217">
        <f>SUM(I74:I76)</f>
        <v>26064000</v>
      </c>
      <c r="J73" s="218">
        <f t="shared" si="2"/>
        <v>800000</v>
      </c>
      <c r="K73" s="219">
        <f t="shared" si="3"/>
        <v>3.0693677102516883E-2</v>
      </c>
      <c r="L73" s="214"/>
      <c r="M73" s="220">
        <f>SUM(M74:M76)</f>
        <v>26062872</v>
      </c>
    </row>
    <row r="74" spans="1:13" s="55" customFormat="1" hidden="1" outlineLevel="1">
      <c r="A74" s="209" t="s">
        <v>2891</v>
      </c>
      <c r="B74" s="248"/>
      <c r="C74" s="222"/>
      <c r="D74" s="254"/>
      <c r="E74" s="222" t="s">
        <v>2851</v>
      </c>
      <c r="F74" s="625" t="s">
        <v>2892</v>
      </c>
      <c r="G74" s="626"/>
      <c r="H74" s="225">
        <f>SUMIF('pdc2019'!$J$8:$J$1169,'CE sintesi'!$A74,'pdc2019'!$Q$8:$Q$1169)</f>
        <v>11144000</v>
      </c>
      <c r="I74" s="225">
        <f>SUMIF('pdc2019'!$J$8:$J$1169,'CE sintesi'!$A74,'pdc2019'!$P$8:$P$1169)</f>
        <v>10344000</v>
      </c>
      <c r="J74" s="226">
        <f t="shared" si="2"/>
        <v>800000</v>
      </c>
      <c r="K74" s="227">
        <f t="shared" si="3"/>
        <v>7.7339520494972933E-2</v>
      </c>
      <c r="L74" s="209"/>
      <c r="M74" s="228">
        <f>SUMIF('pdc2019'!$J$8:$J$1169,'CE sintesi'!$A74,'pdc2019'!$N$8:$N$1169)</f>
        <v>10343209.210000001</v>
      </c>
    </row>
    <row r="75" spans="1:13" s="79" customFormat="1" hidden="1" outlineLevel="1">
      <c r="A75" s="209" t="s">
        <v>2893</v>
      </c>
      <c r="B75" s="240"/>
      <c r="C75" s="216"/>
      <c r="D75" s="256"/>
      <c r="E75" s="222" t="s">
        <v>2853</v>
      </c>
      <c r="F75" s="625" t="s">
        <v>2894</v>
      </c>
      <c r="G75" s="626"/>
      <c r="H75" s="217">
        <f>SUMIF('pdc2019'!$J$8:$J$1169,'CE sintesi'!$A75,'pdc2019'!$Q$8:$Q$1169)</f>
        <v>0</v>
      </c>
      <c r="I75" s="217">
        <f>SUMIF('pdc2019'!$J$8:$J$1169,'CE sintesi'!$A75,'pdc2019'!$P$8:$P$1169)</f>
        <v>0</v>
      </c>
      <c r="J75" s="218">
        <f t="shared" si="2"/>
        <v>0</v>
      </c>
      <c r="K75" s="219" t="str">
        <f t="shared" si="3"/>
        <v xml:space="preserve">-    </v>
      </c>
      <c r="L75" s="214"/>
      <c r="M75" s="220">
        <f>SUMIF('pdc2019'!$J$8:$J$1169,'CE sintesi'!$A75,'pdc2019'!$N$8:$N$1169)</f>
        <v>0</v>
      </c>
    </row>
    <row r="76" spans="1:13" s="79" customFormat="1" hidden="1" outlineLevel="1">
      <c r="A76" s="209" t="s">
        <v>2895</v>
      </c>
      <c r="B76" s="240"/>
      <c r="C76" s="216"/>
      <c r="D76" s="256"/>
      <c r="E76" s="222" t="s">
        <v>3542</v>
      </c>
      <c r="F76" s="625" t="s">
        <v>1036</v>
      </c>
      <c r="G76" s="626"/>
      <c r="H76" s="225">
        <f>SUMIF('pdc2019'!$J$8:$J$1169,'CE sintesi'!$A76,'pdc2019'!$Q$8:$Q$1169)</f>
        <v>15720000</v>
      </c>
      <c r="I76" s="225">
        <f>SUMIF('pdc2019'!$J$8:$J$1169,'CE sintesi'!$A76,'pdc2019'!$P$8:$P$1169)</f>
        <v>15720000</v>
      </c>
      <c r="J76" s="226">
        <f t="shared" si="2"/>
        <v>0</v>
      </c>
      <c r="K76" s="227">
        <f t="shared" si="3"/>
        <v>0</v>
      </c>
      <c r="L76" s="214"/>
      <c r="M76" s="228">
        <f>SUMIF('pdc2019'!$J$8:$J$1169,'CE sintesi'!$A76,'pdc2019'!$N$8:$N$1169)</f>
        <v>15719662.789999999</v>
      </c>
    </row>
    <row r="77" spans="1:13" s="79" customFormat="1" collapsed="1">
      <c r="A77" s="209" t="s">
        <v>1073</v>
      </c>
      <c r="B77" s="240"/>
      <c r="C77" s="216" t="s">
        <v>3573</v>
      </c>
      <c r="D77" s="628" t="s">
        <v>2896</v>
      </c>
      <c r="E77" s="628"/>
      <c r="F77" s="628"/>
      <c r="G77" s="629"/>
      <c r="H77" s="217">
        <f>SUMIF('pdc2019'!$J$8:$J$1169,'CE sintesi'!$A77,'pdc2019'!$Q$8:$Q$1169)</f>
        <v>1050000</v>
      </c>
      <c r="I77" s="217">
        <f>SUMIF('pdc2019'!$J$8:$J$1169,'CE sintesi'!$A77,'pdc2019'!$P$8:$P$1169)</f>
        <v>1050000</v>
      </c>
      <c r="J77" s="218">
        <f t="shared" si="2"/>
        <v>0</v>
      </c>
      <c r="K77" s="219">
        <f t="shared" si="3"/>
        <v>0</v>
      </c>
      <c r="L77" s="214"/>
      <c r="M77" s="220">
        <f>SUMIF('pdc2019'!$J$8:$J$1169,'CE sintesi'!$A77,'pdc2019'!$N$8:$N$1169)</f>
        <v>965046.87</v>
      </c>
    </row>
    <row r="78" spans="1:13" s="79" customFormat="1">
      <c r="A78" s="209"/>
      <c r="B78" s="240"/>
      <c r="C78" s="216" t="s">
        <v>2897</v>
      </c>
      <c r="D78" s="628" t="s">
        <v>1478</v>
      </c>
      <c r="E78" s="628"/>
      <c r="F78" s="628"/>
      <c r="G78" s="629"/>
      <c r="H78" s="217">
        <f>SUM(H79:H80)</f>
        <v>155000</v>
      </c>
      <c r="I78" s="217">
        <f>SUM(I79:I80)</f>
        <v>155000</v>
      </c>
      <c r="J78" s="218">
        <f t="shared" si="2"/>
        <v>0</v>
      </c>
      <c r="K78" s="219">
        <f t="shared" si="3"/>
        <v>0</v>
      </c>
      <c r="L78" s="214"/>
      <c r="M78" s="220">
        <f>SUM(M79:M80)</f>
        <v>-1871889.1600000001</v>
      </c>
    </row>
    <row r="79" spans="1:13" s="55" customFormat="1" hidden="1" outlineLevel="1">
      <c r="A79" s="209" t="s">
        <v>2898</v>
      </c>
      <c r="B79" s="257"/>
      <c r="C79" s="250"/>
      <c r="D79" s="254"/>
      <c r="E79" s="222" t="s">
        <v>2851</v>
      </c>
      <c r="F79" s="625" t="s">
        <v>2899</v>
      </c>
      <c r="G79" s="626"/>
      <c r="H79" s="225">
        <f>SUMIF('pdc2019'!$J$8:$J$1169,'CE sintesi'!$A79,'pdc2019'!$Q$8:$Q$1169)</f>
        <v>110000</v>
      </c>
      <c r="I79" s="225">
        <f>SUMIF('pdc2019'!$J$8:$J$1169,'CE sintesi'!$A79,'pdc2019'!$P$8:$P$1169)</f>
        <v>110000</v>
      </c>
      <c r="J79" s="226">
        <f t="shared" si="2"/>
        <v>0</v>
      </c>
      <c r="K79" s="227">
        <f t="shared" si="3"/>
        <v>0</v>
      </c>
      <c r="L79" s="209"/>
      <c r="M79" s="228">
        <f>SUMIF('pdc2019'!$J$8:$J$1169,'CE sintesi'!$A79,'pdc2019'!$N$8:$N$1169)</f>
        <v>-1880572.1600000001</v>
      </c>
    </row>
    <row r="80" spans="1:13" s="55" customFormat="1" hidden="1" outlineLevel="1">
      <c r="A80" s="209" t="s">
        <v>2900</v>
      </c>
      <c r="B80" s="257"/>
      <c r="C80" s="250"/>
      <c r="D80" s="254"/>
      <c r="E80" s="222" t="s">
        <v>2853</v>
      </c>
      <c r="F80" s="625" t="s">
        <v>2901</v>
      </c>
      <c r="G80" s="626"/>
      <c r="H80" s="225">
        <f>SUMIF('pdc2019'!$J$8:$J$1169,'CE sintesi'!$A80,'pdc2019'!$Q$8:$Q$1169)</f>
        <v>45000</v>
      </c>
      <c r="I80" s="225">
        <f>SUMIF('pdc2019'!$J$8:$J$1169,'CE sintesi'!$A80,'pdc2019'!$P$8:$P$1169)</f>
        <v>45000</v>
      </c>
      <c r="J80" s="226">
        <f t="shared" si="2"/>
        <v>0</v>
      </c>
      <c r="K80" s="227">
        <f t="shared" si="3"/>
        <v>0</v>
      </c>
      <c r="L80" s="209"/>
      <c r="M80" s="228">
        <f>SUMIF('pdc2019'!$J$8:$J$1169,'CE sintesi'!$A80,'pdc2019'!$N$8:$N$1169)</f>
        <v>8682.9999999999927</v>
      </c>
    </row>
    <row r="81" spans="1:13" s="79" customFormat="1" collapsed="1">
      <c r="A81" s="209"/>
      <c r="B81" s="257"/>
      <c r="C81" s="216" t="s">
        <v>2902</v>
      </c>
      <c r="D81" s="628" t="s">
        <v>2903</v>
      </c>
      <c r="E81" s="628"/>
      <c r="F81" s="628"/>
      <c r="G81" s="629"/>
      <c r="H81" s="217">
        <f>SUM(H82:H85)</f>
        <v>8722000</v>
      </c>
      <c r="I81" s="217">
        <f>SUM(I82:I85)</f>
        <v>8722000</v>
      </c>
      <c r="J81" s="218">
        <f t="shared" si="2"/>
        <v>0</v>
      </c>
      <c r="K81" s="219">
        <f t="shared" si="3"/>
        <v>0</v>
      </c>
      <c r="L81" s="214"/>
      <c r="M81" s="220">
        <f>SUM(M82:M85)</f>
        <v>11300394.59</v>
      </c>
    </row>
    <row r="82" spans="1:13" s="55" customFormat="1" hidden="1" outlineLevel="1">
      <c r="A82" s="209" t="s">
        <v>2904</v>
      </c>
      <c r="B82" s="257"/>
      <c r="C82" s="250"/>
      <c r="D82" s="254"/>
      <c r="E82" s="222" t="s">
        <v>2851</v>
      </c>
      <c r="F82" s="625" t="s">
        <v>1480</v>
      </c>
      <c r="G82" s="626"/>
      <c r="H82" s="225">
        <f>SUMIF('pdc2019'!$J$8:$J$1169,'CE sintesi'!$A82,'pdc2019'!$Q$8:$Q$1169)</f>
        <v>228000</v>
      </c>
      <c r="I82" s="225">
        <f>SUMIF('pdc2019'!$J$8:$J$1169,'CE sintesi'!$A82,'pdc2019'!$P$8:$P$1169)</f>
        <v>228000</v>
      </c>
      <c r="J82" s="226">
        <f t="shared" si="2"/>
        <v>0</v>
      </c>
      <c r="K82" s="227">
        <f t="shared" si="3"/>
        <v>0</v>
      </c>
      <c r="L82" s="209"/>
      <c r="M82" s="228">
        <f>SUMIF('pdc2019'!$J$8:$J$1169,'CE sintesi'!$A82,'pdc2019'!$N$8:$N$1169)</f>
        <v>400822.15</v>
      </c>
    </row>
    <row r="83" spans="1:13" s="55" customFormat="1" hidden="1" outlineLevel="1">
      <c r="A83" s="209" t="s">
        <v>2905</v>
      </c>
      <c r="B83" s="257"/>
      <c r="C83" s="250"/>
      <c r="D83" s="254"/>
      <c r="E83" s="222" t="s">
        <v>2853</v>
      </c>
      <c r="F83" s="625" t="s">
        <v>2906</v>
      </c>
      <c r="G83" s="626"/>
      <c r="H83" s="225">
        <f>SUMIF('pdc2019'!$J$8:$J$1169,'CE sintesi'!$A83,'pdc2019'!$Q$8:$Q$1169)</f>
        <v>50000</v>
      </c>
      <c r="I83" s="225">
        <f>SUMIF('pdc2019'!$J$8:$J$1169,'CE sintesi'!$A83,'pdc2019'!$P$8:$P$1169)</f>
        <v>50000</v>
      </c>
      <c r="J83" s="226">
        <f t="shared" si="2"/>
        <v>0</v>
      </c>
      <c r="K83" s="227">
        <f t="shared" si="3"/>
        <v>0</v>
      </c>
      <c r="L83" s="209"/>
      <c r="M83" s="228">
        <f>SUMIF('pdc2019'!$J$8:$J$1169,'CE sintesi'!$A83,'pdc2019'!$N$8:$N$1169)</f>
        <v>25000</v>
      </c>
    </row>
    <row r="84" spans="1:13" s="55" customFormat="1" hidden="1" outlineLevel="1">
      <c r="A84" s="209" t="s">
        <v>2907</v>
      </c>
      <c r="B84" s="257"/>
      <c r="C84" s="250"/>
      <c r="D84" s="254"/>
      <c r="E84" s="222" t="s">
        <v>3542</v>
      </c>
      <c r="F84" s="625" t="s">
        <v>2908</v>
      </c>
      <c r="G84" s="626"/>
      <c r="H84" s="225">
        <f>SUMIF('pdc2019'!$J$8:$J$1169,'CE sintesi'!$A84,'pdc2019'!$Q$8:$Q$1169)</f>
        <v>0</v>
      </c>
      <c r="I84" s="225">
        <f>SUMIF('pdc2019'!$J$8:$J$1169,'CE sintesi'!$A84,'pdc2019'!$P$8:$P$1169)</f>
        <v>0</v>
      </c>
      <c r="J84" s="226">
        <f t="shared" si="2"/>
        <v>0</v>
      </c>
      <c r="K84" s="227" t="str">
        <f t="shared" si="3"/>
        <v xml:space="preserve">-    </v>
      </c>
      <c r="L84" s="209"/>
      <c r="M84" s="228">
        <f>SUMIF('pdc2019'!$J$8:$J$1169,'CE sintesi'!$A84,'pdc2019'!$N$8:$N$1169)</f>
        <v>78942.33</v>
      </c>
    </row>
    <row r="85" spans="1:13" s="55" customFormat="1" hidden="1" outlineLevel="1">
      <c r="A85" s="209" t="s">
        <v>2909</v>
      </c>
      <c r="B85" s="257"/>
      <c r="C85" s="250"/>
      <c r="D85" s="254"/>
      <c r="E85" s="222" t="s">
        <v>3550</v>
      </c>
      <c r="F85" s="625" t="s">
        <v>2725</v>
      </c>
      <c r="G85" s="626"/>
      <c r="H85" s="225">
        <f>SUMIF('pdc2019'!$J$8:$J$1169,'CE sintesi'!$A85,'pdc2019'!$Q$8:$Q$1169)</f>
        <v>8444000</v>
      </c>
      <c r="I85" s="225">
        <f>SUMIF('pdc2019'!$J$8:$J$1169,'CE sintesi'!$A85,'pdc2019'!$P$8:$P$1169)</f>
        <v>8444000</v>
      </c>
      <c r="J85" s="226">
        <f t="shared" si="2"/>
        <v>0</v>
      </c>
      <c r="K85" s="227">
        <f t="shared" si="3"/>
        <v>0</v>
      </c>
      <c r="L85" s="209"/>
      <c r="M85" s="228">
        <f>SUMIF('pdc2019'!$J$8:$J$1169,'CE sintesi'!$A85,'pdc2019'!$N$8:$N$1169)</f>
        <v>10795630.109999999</v>
      </c>
    </row>
    <row r="86" spans="1:13" s="79" customFormat="1" collapsed="1">
      <c r="A86" s="209"/>
      <c r="B86" s="241"/>
      <c r="C86" s="242" t="s">
        <v>2910</v>
      </c>
      <c r="D86" s="242"/>
      <c r="E86" s="242"/>
      <c r="F86" s="242"/>
      <c r="G86" s="243"/>
      <c r="H86" s="244">
        <f>H39+H42+H60+H64+H65+H66+H72+H73+H77+H78+H81</f>
        <v>1349938042.5699999</v>
      </c>
      <c r="I86" s="244">
        <f>I39+I42+I60+I64+I65+I66+I72+I73+I77+I78+I81</f>
        <v>1314106500</v>
      </c>
      <c r="J86" s="245">
        <f t="shared" si="2"/>
        <v>35831542.569999933</v>
      </c>
      <c r="K86" s="246">
        <f t="shared" si="3"/>
        <v>2.7266848288171417E-2</v>
      </c>
      <c r="L86" s="214"/>
      <c r="M86" s="247">
        <f>M39+M42+M60+M64+M65+M66+M72+M73+M77+M78+M81</f>
        <v>1281919575.6999996</v>
      </c>
    </row>
    <row r="87" spans="1:13" s="55" customFormat="1" ht="15.75" thickBot="1">
      <c r="A87" s="209"/>
      <c r="B87" s="257"/>
      <c r="C87" s="222"/>
      <c r="D87" s="254"/>
      <c r="E87" s="251"/>
      <c r="F87" s="254"/>
      <c r="G87" s="255"/>
      <c r="H87" s="225"/>
      <c r="I87" s="225"/>
      <c r="J87" s="226"/>
      <c r="K87" s="227"/>
      <c r="L87" s="209"/>
      <c r="M87" s="228"/>
    </row>
    <row r="88" spans="1:13" s="81" customFormat="1" ht="16.5" thickTop="1" thickBot="1">
      <c r="A88" s="258"/>
      <c r="B88" s="635" t="s">
        <v>2911</v>
      </c>
      <c r="C88" s="636"/>
      <c r="D88" s="636"/>
      <c r="E88" s="636"/>
      <c r="F88" s="636"/>
      <c r="G88" s="637"/>
      <c r="H88" s="262">
        <f>H36-H86</f>
        <v>35617500</v>
      </c>
      <c r="I88" s="262">
        <f>I36-I86</f>
        <v>55311206.930000067</v>
      </c>
      <c r="J88" s="263">
        <f>H88-I88</f>
        <v>-19693706.930000067</v>
      </c>
      <c r="K88" s="264">
        <f>IF(I88=0,"-    ",J88/I88)</f>
        <v>-0.3560527427095152</v>
      </c>
      <c r="L88" s="265"/>
      <c r="M88" s="266">
        <f>M36-M86</f>
        <v>50838577.310000658</v>
      </c>
    </row>
    <row r="89" spans="1:13" s="81" customFormat="1" ht="15.75" thickTop="1">
      <c r="A89" s="258"/>
      <c r="B89" s="267"/>
      <c r="C89" s="268"/>
      <c r="D89" s="268"/>
      <c r="E89" s="269"/>
      <c r="F89" s="270"/>
      <c r="G89" s="271"/>
      <c r="H89" s="272"/>
      <c r="I89" s="272"/>
      <c r="J89" s="273"/>
      <c r="K89" s="274"/>
      <c r="L89" s="265"/>
      <c r="M89" s="275"/>
    </row>
    <row r="90" spans="1:13" s="79" customFormat="1">
      <c r="A90" s="209"/>
      <c r="B90" s="215" t="s">
        <v>2262</v>
      </c>
      <c r="C90" s="630" t="s">
        <v>1483</v>
      </c>
      <c r="D90" s="630"/>
      <c r="E90" s="630"/>
      <c r="F90" s="630"/>
      <c r="G90" s="631"/>
      <c r="H90" s="217"/>
      <c r="I90" s="217"/>
      <c r="J90" s="218"/>
      <c r="K90" s="219"/>
      <c r="L90" s="214"/>
      <c r="M90" s="220"/>
    </row>
    <row r="91" spans="1:13" s="79" customFormat="1">
      <c r="A91" s="209" t="s">
        <v>2912</v>
      </c>
      <c r="B91" s="240"/>
      <c r="C91" s="216" t="s">
        <v>2849</v>
      </c>
      <c r="D91" s="628" t="s">
        <v>2913</v>
      </c>
      <c r="E91" s="628"/>
      <c r="F91" s="628"/>
      <c r="G91" s="629"/>
      <c r="H91" s="217">
        <f>SUMIF('pdc2019'!$J$8:$J$1169,'CE sintesi'!$A91,'pdc2019'!$Q$8:$Q$1169)</f>
        <v>15000</v>
      </c>
      <c r="I91" s="217">
        <f>SUMIF('pdc2019'!$J$8:$J$1169,'CE sintesi'!$A91,'pdc2019'!$P$8:$P$1169)</f>
        <v>15032.77</v>
      </c>
      <c r="J91" s="218">
        <f>H91-I91</f>
        <v>-32.770000000000437</v>
      </c>
      <c r="K91" s="219">
        <f>IF(I91=0,"-    ",J91/I91)</f>
        <v>-2.1799043024007176E-3</v>
      </c>
      <c r="L91" s="214"/>
      <c r="M91" s="220">
        <f>SUMIF('pdc2019'!$J$8:$J$1169,'CE sintesi'!$A91,'pdc2019'!$N$8:$N$1169)</f>
        <v>19419.93</v>
      </c>
    </row>
    <row r="92" spans="1:13" s="79" customFormat="1">
      <c r="A92" s="209" t="s">
        <v>2914</v>
      </c>
      <c r="B92" s="240"/>
      <c r="C92" s="216" t="s">
        <v>2858</v>
      </c>
      <c r="D92" s="628" t="s">
        <v>2915</v>
      </c>
      <c r="E92" s="628"/>
      <c r="F92" s="628"/>
      <c r="G92" s="629"/>
      <c r="H92" s="217">
        <f>SUMIF('pdc2019'!$J$8:$J$1169,'CE sintesi'!$A92,'pdc2019'!$Q$8:$Q$1169)</f>
        <v>21000</v>
      </c>
      <c r="I92" s="217">
        <f>SUMIF('pdc2019'!$J$8:$J$1169,'CE sintesi'!$A92,'pdc2019'!$P$8:$P$1169)</f>
        <v>69000</v>
      </c>
      <c r="J92" s="218">
        <f>H92-I92</f>
        <v>-48000</v>
      </c>
      <c r="K92" s="219">
        <f>IF(I92=0,"-    ",J92/I92)</f>
        <v>-0.69565217391304346</v>
      </c>
      <c r="L92" s="214"/>
      <c r="M92" s="220">
        <f>SUMIF('pdc2019'!$J$8:$J$1169,'CE sintesi'!$A92,'pdc2019'!$N$8:$N$1169)</f>
        <v>87181.750000000015</v>
      </c>
    </row>
    <row r="93" spans="1:13" s="79" customFormat="1">
      <c r="A93" s="209"/>
      <c r="B93" s="241"/>
      <c r="C93" s="242" t="s">
        <v>2916</v>
      </c>
      <c r="D93" s="242"/>
      <c r="E93" s="242"/>
      <c r="F93" s="242"/>
      <c r="G93" s="243"/>
      <c r="H93" s="244">
        <f>+H91-H92</f>
        <v>-6000</v>
      </c>
      <c r="I93" s="244">
        <f>+I91-I92</f>
        <v>-53967.229999999996</v>
      </c>
      <c r="J93" s="245">
        <f>H93-I93</f>
        <v>47967.229999999996</v>
      </c>
      <c r="K93" s="246">
        <f>IF(I93=0,"-    ",J93/I93)</f>
        <v>-0.88882141996170638</v>
      </c>
      <c r="L93" s="214"/>
      <c r="M93" s="247">
        <f>+M91-M92</f>
        <v>-67761.820000000007</v>
      </c>
    </row>
    <row r="94" spans="1:13" s="55" customFormat="1">
      <c r="A94" s="209"/>
      <c r="B94" s="248"/>
      <c r="C94" s="222"/>
      <c r="D94" s="254"/>
      <c r="E94" s="249"/>
      <c r="F94" s="254"/>
      <c r="G94" s="255"/>
      <c r="H94" s="225"/>
      <c r="I94" s="225"/>
      <c r="J94" s="226"/>
      <c r="K94" s="227"/>
      <c r="L94" s="209"/>
      <c r="M94" s="228"/>
    </row>
    <row r="95" spans="1:13" s="79" customFormat="1">
      <c r="A95" s="209"/>
      <c r="B95" s="215" t="s">
        <v>2363</v>
      </c>
      <c r="C95" s="630" t="s">
        <v>1485</v>
      </c>
      <c r="D95" s="630"/>
      <c r="E95" s="630"/>
      <c r="F95" s="630"/>
      <c r="G95" s="631"/>
      <c r="H95" s="217"/>
      <c r="I95" s="217"/>
      <c r="J95" s="218"/>
      <c r="K95" s="219"/>
      <c r="L95" s="214"/>
      <c r="M95" s="220"/>
    </row>
    <row r="96" spans="1:13" s="79" customFormat="1">
      <c r="A96" s="209" t="s">
        <v>771</v>
      </c>
      <c r="B96" s="240"/>
      <c r="C96" s="216" t="s">
        <v>2849</v>
      </c>
      <c r="D96" s="628" t="s">
        <v>770</v>
      </c>
      <c r="E96" s="628"/>
      <c r="F96" s="628"/>
      <c r="G96" s="629"/>
      <c r="H96" s="217">
        <f>SUMIF('pdc2019'!$J$8:$J$1169,'CE sintesi'!$A96,'pdc2019'!$Q$8:$Q$1169)</f>
        <v>0</v>
      </c>
      <c r="I96" s="217">
        <f>SUMIF('pdc2019'!$J$8:$J$1169,'CE sintesi'!$A96,'pdc2019'!$P$8:$P$1169)</f>
        <v>0</v>
      </c>
      <c r="J96" s="218">
        <f>H96-I96</f>
        <v>0</v>
      </c>
      <c r="K96" s="219" t="str">
        <f>IF(I96=0,"-    ",J96/I96)</f>
        <v xml:space="preserve">-    </v>
      </c>
      <c r="L96" s="214"/>
      <c r="M96" s="220">
        <f>SUMIF('pdc2019'!$J$8:$J$1169,'CE sintesi'!$A96,'pdc2019'!$N$8:$N$1169)</f>
        <v>6503.01</v>
      </c>
    </row>
    <row r="97" spans="1:13" s="79" customFormat="1">
      <c r="A97" s="209" t="s">
        <v>1798</v>
      </c>
      <c r="B97" s="240"/>
      <c r="C97" s="216" t="s">
        <v>2858</v>
      </c>
      <c r="D97" s="628" t="s">
        <v>1797</v>
      </c>
      <c r="E97" s="628"/>
      <c r="F97" s="628"/>
      <c r="G97" s="629"/>
      <c r="H97" s="217">
        <f>SUMIF('pdc2019'!$J$8:$J$1169,'CE sintesi'!$A97,'pdc2019'!$Q$8:$Q$1169)</f>
        <v>0</v>
      </c>
      <c r="I97" s="217">
        <f>SUMIF('pdc2019'!$J$8:$J$1169,'CE sintesi'!$A97,'pdc2019'!$P$8:$P$1169)</f>
        <v>0</v>
      </c>
      <c r="J97" s="218">
        <f>H97-I97</f>
        <v>0</v>
      </c>
      <c r="K97" s="219" t="str">
        <f>IF(I97=0,"-    ",J97/I97)</f>
        <v xml:space="preserve">-    </v>
      </c>
      <c r="L97" s="214"/>
      <c r="M97" s="220">
        <f>SUMIF('pdc2019'!$J$8:$J$1169,'CE sintesi'!$A97,'pdc2019'!$N$8:$N$1169)</f>
        <v>0</v>
      </c>
    </row>
    <row r="98" spans="1:13" s="79" customFormat="1">
      <c r="A98" s="209"/>
      <c r="B98" s="241"/>
      <c r="C98" s="242" t="s">
        <v>2917</v>
      </c>
      <c r="D98" s="242"/>
      <c r="E98" s="242"/>
      <c r="F98" s="242"/>
      <c r="G98" s="243"/>
      <c r="H98" s="244">
        <f>H96-H97</f>
        <v>0</v>
      </c>
      <c r="I98" s="244">
        <f>I96-I97</f>
        <v>0</v>
      </c>
      <c r="J98" s="245">
        <f>H98-I98</f>
        <v>0</v>
      </c>
      <c r="K98" s="246" t="str">
        <f>IF(I98=0,"-    ",J98/I98)</f>
        <v xml:space="preserve">-    </v>
      </c>
      <c r="L98" s="214"/>
      <c r="M98" s="247">
        <f>M96-M97</f>
        <v>6503.01</v>
      </c>
    </row>
    <row r="99" spans="1:13" s="55" customFormat="1">
      <c r="A99" s="209"/>
      <c r="B99" s="248"/>
      <c r="C99" s="222"/>
      <c r="D99" s="251"/>
      <c r="E99" s="249"/>
      <c r="F99" s="223"/>
      <c r="G99" s="224"/>
      <c r="H99" s="225"/>
      <c r="I99" s="225"/>
      <c r="J99" s="226"/>
      <c r="K99" s="227"/>
      <c r="L99" s="209"/>
      <c r="M99" s="228"/>
    </row>
    <row r="100" spans="1:13" s="79" customFormat="1">
      <c r="A100" s="209"/>
      <c r="B100" s="215" t="s">
        <v>1488</v>
      </c>
      <c r="C100" s="630" t="s">
        <v>1490</v>
      </c>
      <c r="D100" s="630"/>
      <c r="E100" s="630"/>
      <c r="F100" s="630"/>
      <c r="G100" s="631"/>
      <c r="H100" s="217"/>
      <c r="I100" s="217"/>
      <c r="J100" s="218"/>
      <c r="K100" s="219"/>
      <c r="L100" s="214"/>
      <c r="M100" s="220"/>
    </row>
    <row r="101" spans="1:13" s="79" customFormat="1">
      <c r="A101" s="209"/>
      <c r="B101" s="240"/>
      <c r="C101" s="216" t="s">
        <v>2849</v>
      </c>
      <c r="D101" s="628" t="s">
        <v>2918</v>
      </c>
      <c r="E101" s="628"/>
      <c r="F101" s="628"/>
      <c r="G101" s="629"/>
      <c r="H101" s="217">
        <f>SUM(H102:H103)</f>
        <v>5010000</v>
      </c>
      <c r="I101" s="217">
        <f>SUM(I102:I103)</f>
        <v>7468474.8800000008</v>
      </c>
      <c r="J101" s="218">
        <f t="shared" ref="J101:J107" si="4">H101-I101</f>
        <v>-2458474.8800000008</v>
      </c>
      <c r="K101" s="219">
        <f t="shared" ref="K101:K107" si="5">IF(I101=0,"-    ",J101/I101)</f>
        <v>-0.32918031050537599</v>
      </c>
      <c r="L101" s="214"/>
      <c r="M101" s="220">
        <f>SUM(M102:M103)</f>
        <v>11097671.699999999</v>
      </c>
    </row>
    <row r="102" spans="1:13" s="55" customFormat="1" hidden="1" outlineLevel="1">
      <c r="A102" s="209" t="s">
        <v>2</v>
      </c>
      <c r="B102" s="248"/>
      <c r="C102" s="250"/>
      <c r="D102" s="254"/>
      <c r="E102" s="222" t="s">
        <v>2851</v>
      </c>
      <c r="F102" s="625" t="s">
        <v>1</v>
      </c>
      <c r="G102" s="626"/>
      <c r="H102" s="225">
        <f>SUMIF('pdc2019'!$J$8:$J$1169,'CE sintesi'!$A102,'pdc2019'!$Q$8:$Q$1169)</f>
        <v>0</v>
      </c>
      <c r="I102" s="225">
        <f>SUMIF('pdc2019'!$J$8:$J$1169,'CE sintesi'!$A102,'pdc2019'!$P$8:$P$1169)</f>
        <v>0</v>
      </c>
      <c r="J102" s="226">
        <f t="shared" si="4"/>
        <v>0</v>
      </c>
      <c r="K102" s="227" t="str">
        <f t="shared" si="5"/>
        <v xml:space="preserve">-    </v>
      </c>
      <c r="L102" s="209"/>
      <c r="M102" s="228">
        <f>SUMIF('pdc2019'!$J$8:$J$1169,'CE sintesi'!$A102,'pdc2019'!$N$8:$N$1169)</f>
        <v>0</v>
      </c>
    </row>
    <row r="103" spans="1:13" s="55" customFormat="1" hidden="1" outlineLevel="1">
      <c r="A103" s="209" t="s">
        <v>740</v>
      </c>
      <c r="B103" s="248"/>
      <c r="C103" s="250"/>
      <c r="D103" s="254"/>
      <c r="E103" s="222" t="s">
        <v>2853</v>
      </c>
      <c r="F103" s="625" t="s">
        <v>745</v>
      </c>
      <c r="G103" s="626"/>
      <c r="H103" s="225">
        <f>SUMIF('pdc2019'!$J$8:$J$1169,'CE sintesi'!$A103,'pdc2019'!$Q$8:$Q$1169)</f>
        <v>5010000</v>
      </c>
      <c r="I103" s="225">
        <f>SUMIF('pdc2019'!$J$8:$J$1169,'CE sintesi'!$A103,'pdc2019'!$P$8:$P$1169)</f>
        <v>7468474.8800000008</v>
      </c>
      <c r="J103" s="226">
        <f t="shared" si="4"/>
        <v>-2458474.8800000008</v>
      </c>
      <c r="K103" s="227">
        <f t="shared" si="5"/>
        <v>-0.32918031050537599</v>
      </c>
      <c r="L103" s="209"/>
      <c r="M103" s="228">
        <f>SUMIF('pdc2019'!$J$8:$J$1169,'CE sintesi'!$A103,'pdc2019'!$N$8:$N$1169)</f>
        <v>11097671.699999999</v>
      </c>
    </row>
    <row r="104" spans="1:13" s="79" customFormat="1" collapsed="1">
      <c r="A104" s="209"/>
      <c r="B104" s="240"/>
      <c r="C104" s="216" t="s">
        <v>2858</v>
      </c>
      <c r="D104" s="628" t="s">
        <v>2919</v>
      </c>
      <c r="E104" s="628"/>
      <c r="F104" s="628"/>
      <c r="G104" s="629"/>
      <c r="H104" s="217">
        <f>SUM(H105:H106)</f>
        <v>152500</v>
      </c>
      <c r="I104" s="217">
        <f>SUM(I105:I106)</f>
        <v>680154.14</v>
      </c>
      <c r="J104" s="218">
        <f t="shared" si="4"/>
        <v>-527654.14</v>
      </c>
      <c r="K104" s="219">
        <f t="shared" si="5"/>
        <v>-0.77578611812904641</v>
      </c>
      <c r="L104" s="214"/>
      <c r="M104" s="220">
        <f>SUM(M105:M106)</f>
        <v>4731051.8200000012</v>
      </c>
    </row>
    <row r="105" spans="1:13" s="55" customFormat="1" hidden="1" outlineLevel="1">
      <c r="A105" s="209" t="s">
        <v>1821</v>
      </c>
      <c r="B105" s="248"/>
      <c r="C105" s="250"/>
      <c r="D105" s="254"/>
      <c r="E105" s="222" t="s">
        <v>2851</v>
      </c>
      <c r="F105" s="625" t="s">
        <v>1818</v>
      </c>
      <c r="G105" s="626"/>
      <c r="H105" s="225">
        <f>SUMIF('pdc2019'!$J$8:$J$1169,'CE sintesi'!$A105,'pdc2019'!$Q$8:$Q$1169)</f>
        <v>52000</v>
      </c>
      <c r="I105" s="225">
        <f>SUMIF('pdc2019'!$J$8:$J$1169,'CE sintesi'!$A105,'pdc2019'!$P$8:$P$1169)</f>
        <v>52000</v>
      </c>
      <c r="J105" s="226">
        <f t="shared" si="4"/>
        <v>0</v>
      </c>
      <c r="K105" s="227">
        <f t="shared" si="5"/>
        <v>0</v>
      </c>
      <c r="L105" s="209"/>
      <c r="M105" s="228">
        <f>SUMIF('pdc2019'!$J$8:$J$1169,'CE sintesi'!$A105,'pdc2019'!$N$8:$N$1169)</f>
        <v>51769.03</v>
      </c>
    </row>
    <row r="106" spans="1:13" s="55" customFormat="1" hidden="1" outlineLevel="1">
      <c r="A106" s="209" t="s">
        <v>1775</v>
      </c>
      <c r="B106" s="248"/>
      <c r="C106" s="250"/>
      <c r="D106" s="254"/>
      <c r="E106" s="222" t="s">
        <v>2853</v>
      </c>
      <c r="F106" s="625" t="s">
        <v>1779</v>
      </c>
      <c r="G106" s="626"/>
      <c r="H106" s="225">
        <f>SUMIF('pdc2019'!$J$8:$J$1169,'CE sintesi'!$A106,'pdc2019'!$Q$8:$Q$1169)</f>
        <v>100500</v>
      </c>
      <c r="I106" s="225">
        <f>SUMIF('pdc2019'!$J$8:$J$1169,'CE sintesi'!$A106,'pdc2019'!$P$8:$P$1169)</f>
        <v>628154.14</v>
      </c>
      <c r="J106" s="226">
        <f t="shared" si="4"/>
        <v>-527654.14</v>
      </c>
      <c r="K106" s="227">
        <f t="shared" si="5"/>
        <v>-0.84000742238202875</v>
      </c>
      <c r="L106" s="209"/>
      <c r="M106" s="228">
        <f>SUMIF('pdc2019'!$J$8:$J$1169,'CE sintesi'!$A106,'pdc2019'!$N$8:$N$1169)</f>
        <v>4679282.790000001</v>
      </c>
    </row>
    <row r="107" spans="1:13" s="79" customFormat="1" collapsed="1">
      <c r="A107" s="209"/>
      <c r="B107" s="241"/>
      <c r="C107" s="242" t="s">
        <v>2920</v>
      </c>
      <c r="D107" s="242"/>
      <c r="E107" s="242"/>
      <c r="F107" s="242"/>
      <c r="G107" s="243"/>
      <c r="H107" s="244">
        <f>H101-H104</f>
        <v>4857500</v>
      </c>
      <c r="I107" s="244">
        <f>I101-I104</f>
        <v>6788320.7400000012</v>
      </c>
      <c r="J107" s="245">
        <f t="shared" si="4"/>
        <v>-1930820.7400000012</v>
      </c>
      <c r="K107" s="246">
        <f t="shared" si="5"/>
        <v>-0.28443275059510531</v>
      </c>
      <c r="L107" s="214"/>
      <c r="M107" s="247">
        <f>M101-M104</f>
        <v>6366619.879999998</v>
      </c>
    </row>
    <row r="108" spans="1:13" s="55" customFormat="1" ht="15.75" thickBot="1">
      <c r="A108" s="209"/>
      <c r="B108" s="257"/>
      <c r="C108" s="222"/>
      <c r="D108" s="254"/>
      <c r="E108" s="251"/>
      <c r="F108" s="254"/>
      <c r="G108" s="255"/>
      <c r="H108" s="225"/>
      <c r="I108" s="225"/>
      <c r="J108" s="226"/>
      <c r="K108" s="227"/>
      <c r="L108" s="209"/>
      <c r="M108" s="228"/>
    </row>
    <row r="109" spans="1:13" s="81" customFormat="1" ht="16.5" thickTop="1" thickBot="1">
      <c r="A109" s="258"/>
      <c r="B109" s="259" t="s">
        <v>2921</v>
      </c>
      <c r="C109" s="260"/>
      <c r="D109" s="260"/>
      <c r="E109" s="260"/>
      <c r="F109" s="260"/>
      <c r="G109" s="261"/>
      <c r="H109" s="262">
        <f>H88+H93+H98+H107</f>
        <v>40469000</v>
      </c>
      <c r="I109" s="262">
        <f>I88+I93+I98+I107</f>
        <v>62045560.440000072</v>
      </c>
      <c r="J109" s="263">
        <f>H109-I109</f>
        <v>-21576560.440000072</v>
      </c>
      <c r="K109" s="264">
        <f>IF(I109=0,"-    ",J109/I109)</f>
        <v>-0.34775349415797857</v>
      </c>
      <c r="L109" s="265"/>
      <c r="M109" s="266">
        <f>M88+M93+M98+M107</f>
        <v>57143938.380000651</v>
      </c>
    </row>
    <row r="110" spans="1:13" s="81" customFormat="1" ht="15.75" thickTop="1">
      <c r="A110" s="258"/>
      <c r="B110" s="267"/>
      <c r="C110" s="268"/>
      <c r="D110" s="268"/>
      <c r="E110" s="269"/>
      <c r="F110" s="270"/>
      <c r="G110" s="271"/>
      <c r="H110" s="272"/>
      <c r="I110" s="272"/>
      <c r="J110" s="273"/>
      <c r="K110" s="274"/>
      <c r="L110" s="265"/>
      <c r="M110" s="275"/>
    </row>
    <row r="111" spans="1:13" s="79" customFormat="1">
      <c r="A111" s="209"/>
      <c r="B111" s="215" t="s">
        <v>2922</v>
      </c>
      <c r="C111" s="630" t="s">
        <v>2923</v>
      </c>
      <c r="D111" s="630"/>
      <c r="E111" s="630"/>
      <c r="F111" s="630"/>
      <c r="G111" s="631"/>
      <c r="H111" s="217"/>
      <c r="I111" s="217"/>
      <c r="J111" s="218"/>
      <c r="K111" s="219"/>
      <c r="L111" s="214"/>
      <c r="M111" s="220"/>
    </row>
    <row r="112" spans="1:13" s="79" customFormat="1">
      <c r="A112" s="209"/>
      <c r="B112" s="240"/>
      <c r="C112" s="216" t="s">
        <v>2849</v>
      </c>
      <c r="D112" s="628" t="s">
        <v>1841</v>
      </c>
      <c r="E112" s="628"/>
      <c r="F112" s="628"/>
      <c r="G112" s="629"/>
      <c r="H112" s="217">
        <f>SUM(H113:H116)</f>
        <v>40469000</v>
      </c>
      <c r="I112" s="217">
        <f>SUM(I113:I116)</f>
        <v>40354000</v>
      </c>
      <c r="J112" s="218">
        <f t="shared" ref="J112:J119" si="6">H112-I112</f>
        <v>115000</v>
      </c>
      <c r="K112" s="219">
        <f t="shared" ref="K112:K119" si="7">IF(I112=0,"-    ",J112/I112)</f>
        <v>2.8497794518511175E-3</v>
      </c>
      <c r="L112" s="214"/>
      <c r="M112" s="220">
        <f>SUM(M113:M116)</f>
        <v>39522914.770000003</v>
      </c>
    </row>
    <row r="113" spans="1:13" s="55" customFormat="1" hidden="1" outlineLevel="1">
      <c r="A113" s="209" t="s">
        <v>2924</v>
      </c>
      <c r="B113" s="257"/>
      <c r="C113" s="250"/>
      <c r="D113" s="254"/>
      <c r="E113" s="222" t="s">
        <v>2851</v>
      </c>
      <c r="F113" s="625" t="s">
        <v>2521</v>
      </c>
      <c r="G113" s="626"/>
      <c r="H113" s="225">
        <f>SUMIF('pdc2019'!$J$8:$J$1169,'CE sintesi'!$A113,'pdc2019'!$Q$8:$Q$1169)</f>
        <v>40115000</v>
      </c>
      <c r="I113" s="225">
        <f>SUMIF('pdc2019'!$J$8:$J$1169,'CE sintesi'!$A113,'pdc2019'!$P$8:$P$1169)</f>
        <v>40000000</v>
      </c>
      <c r="J113" s="226">
        <f t="shared" si="6"/>
        <v>115000</v>
      </c>
      <c r="K113" s="227">
        <f t="shared" si="7"/>
        <v>2.875E-3</v>
      </c>
      <c r="L113" s="209"/>
      <c r="M113" s="228">
        <f>SUMIF('pdc2019'!$J$8:$J$1169,'CE sintesi'!$A113,'pdc2019'!$N$8:$N$1169)</f>
        <v>39178373.280000001</v>
      </c>
    </row>
    <row r="114" spans="1:13" s="55" customFormat="1" hidden="1" outlineLevel="1">
      <c r="A114" s="209" t="s">
        <v>2925</v>
      </c>
      <c r="B114" s="257"/>
      <c r="C114" s="250"/>
      <c r="D114" s="254"/>
      <c r="E114" s="222" t="s">
        <v>2853</v>
      </c>
      <c r="F114" s="625" t="s">
        <v>2524</v>
      </c>
      <c r="G114" s="626"/>
      <c r="H114" s="225">
        <f>SUMIF('pdc2019'!$J$8:$J$1169,'CE sintesi'!$A114,'pdc2019'!$Q$8:$Q$1169)</f>
        <v>202000</v>
      </c>
      <c r="I114" s="225">
        <f>SUMIF('pdc2019'!$J$8:$J$1169,'CE sintesi'!$A114,'pdc2019'!$P$8:$P$1169)</f>
        <v>202000</v>
      </c>
      <c r="J114" s="226">
        <f t="shared" si="6"/>
        <v>0</v>
      </c>
      <c r="K114" s="227">
        <f t="shared" si="7"/>
        <v>0</v>
      </c>
      <c r="L114" s="209"/>
      <c r="M114" s="228">
        <f>SUMIF('pdc2019'!$J$8:$J$1169,'CE sintesi'!$A114,'pdc2019'!$N$8:$N$1169)</f>
        <v>193752.25</v>
      </c>
    </row>
    <row r="115" spans="1:13" s="55" customFormat="1" hidden="1" outlineLevel="1">
      <c r="A115" s="209" t="s">
        <v>2926</v>
      </c>
      <c r="B115" s="257"/>
      <c r="C115" s="250"/>
      <c r="D115" s="254"/>
      <c r="E115" s="222" t="s">
        <v>3542</v>
      </c>
      <c r="F115" s="625" t="s">
        <v>1864</v>
      </c>
      <c r="G115" s="626"/>
      <c r="H115" s="225">
        <f>SUMIF('pdc2019'!$J$8:$J$1169,'CE sintesi'!$A115,'pdc2019'!$Q$8:$Q$1169)</f>
        <v>152000</v>
      </c>
      <c r="I115" s="225">
        <f>SUMIF('pdc2019'!$J$8:$J$1169,'CE sintesi'!$A115,'pdc2019'!$P$8:$P$1169)</f>
        <v>152000</v>
      </c>
      <c r="J115" s="226">
        <f t="shared" si="6"/>
        <v>0</v>
      </c>
      <c r="K115" s="227">
        <f t="shared" si="7"/>
        <v>0</v>
      </c>
      <c r="L115" s="209"/>
      <c r="M115" s="228">
        <f>SUMIF('pdc2019'!$J$8:$J$1169,'CE sintesi'!$A115,'pdc2019'!$N$8:$N$1169)</f>
        <v>150789.24</v>
      </c>
    </row>
    <row r="116" spans="1:13" s="55" customFormat="1" hidden="1" outlineLevel="1">
      <c r="A116" s="209" t="s">
        <v>2927</v>
      </c>
      <c r="B116" s="257"/>
      <c r="C116" s="250"/>
      <c r="D116" s="254"/>
      <c r="E116" s="222" t="s">
        <v>3550</v>
      </c>
      <c r="F116" s="625" t="s">
        <v>2528</v>
      </c>
      <c r="G116" s="626"/>
      <c r="H116" s="225">
        <f>SUMIF('pdc2019'!$J$8:$J$1169,'CE sintesi'!$A116,'pdc2019'!$Q$8:$Q$1169)</f>
        <v>0</v>
      </c>
      <c r="I116" s="225">
        <f>SUMIF('pdc2019'!$J$8:$J$1169,'CE sintesi'!$A116,'pdc2019'!$P$8:$P$1169)</f>
        <v>0</v>
      </c>
      <c r="J116" s="226">
        <f t="shared" si="6"/>
        <v>0</v>
      </c>
      <c r="K116" s="227" t="str">
        <f t="shared" si="7"/>
        <v xml:space="preserve">-    </v>
      </c>
      <c r="L116" s="209"/>
      <c r="M116" s="228">
        <f>SUMIF('pdc2019'!$J$8:$J$1169,'CE sintesi'!$A116,'pdc2019'!$N$8:$N$1169)</f>
        <v>0</v>
      </c>
    </row>
    <row r="117" spans="1:13" s="79" customFormat="1" collapsed="1">
      <c r="A117" s="209" t="s">
        <v>2928</v>
      </c>
      <c r="B117" s="240"/>
      <c r="C117" s="216" t="s">
        <v>2858</v>
      </c>
      <c r="D117" s="628" t="s">
        <v>1827</v>
      </c>
      <c r="E117" s="628"/>
      <c r="F117" s="628"/>
      <c r="G117" s="629"/>
      <c r="H117" s="217">
        <f>SUMIF('pdc2019'!$J$8:$J$1169,'CE sintesi'!$A117,'pdc2019'!$Q$8:$Q$1169)</f>
        <v>0</v>
      </c>
      <c r="I117" s="217">
        <f>SUMIF('pdc2019'!$J$8:$J$1169,'CE sintesi'!$A117,'pdc2019'!$P$8:$P$1169)</f>
        <v>0</v>
      </c>
      <c r="J117" s="218">
        <f t="shared" si="6"/>
        <v>0</v>
      </c>
      <c r="K117" s="219" t="str">
        <f t="shared" si="7"/>
        <v xml:space="preserve">-    </v>
      </c>
      <c r="L117" s="214"/>
      <c r="M117" s="220">
        <f>SUMIF('pdc2019'!$J$8:$J$1169,'CE sintesi'!$A117,'pdc2019'!$N$8:$N$1169)</f>
        <v>0</v>
      </c>
    </row>
    <row r="118" spans="1:13" s="79" customFormat="1">
      <c r="A118" s="209" t="s">
        <v>1072</v>
      </c>
      <c r="B118" s="240"/>
      <c r="C118" s="216" t="s">
        <v>2861</v>
      </c>
      <c r="D118" s="628" t="s">
        <v>2929</v>
      </c>
      <c r="E118" s="628"/>
      <c r="F118" s="628"/>
      <c r="G118" s="629"/>
      <c r="H118" s="217">
        <f>SUMIF('pdc2019'!$J$8:$J$1169,'CE sintesi'!$A118,'pdc2019'!$Q$8:$Q$1169)</f>
        <v>0</v>
      </c>
      <c r="I118" s="217">
        <f>SUMIF('pdc2019'!$J$8:$J$1169,'CE sintesi'!$A118,'pdc2019'!$P$8:$P$1169)</f>
        <v>0</v>
      </c>
      <c r="J118" s="218">
        <f t="shared" si="6"/>
        <v>0</v>
      </c>
      <c r="K118" s="219" t="str">
        <f t="shared" si="7"/>
        <v xml:space="preserve">-    </v>
      </c>
      <c r="L118" s="214"/>
      <c r="M118" s="220">
        <f>SUMIF('pdc2019'!$J$8:$J$1169,'CE sintesi'!$A118,'pdc2019'!$N$8:$N$1169)</f>
        <v>0</v>
      </c>
    </row>
    <row r="119" spans="1:13" s="79" customFormat="1">
      <c r="A119" s="209"/>
      <c r="B119" s="241"/>
      <c r="C119" s="242" t="s">
        <v>2930</v>
      </c>
      <c r="D119" s="242"/>
      <c r="E119" s="242"/>
      <c r="F119" s="242"/>
      <c r="G119" s="243"/>
      <c r="H119" s="244">
        <f>H112+H117+H118</f>
        <v>40469000</v>
      </c>
      <c r="I119" s="244">
        <f>I112+I117+I118</f>
        <v>40354000</v>
      </c>
      <c r="J119" s="245">
        <f t="shared" si="6"/>
        <v>115000</v>
      </c>
      <c r="K119" s="246">
        <f t="shared" si="7"/>
        <v>2.8497794518511175E-3</v>
      </c>
      <c r="L119" s="214"/>
      <c r="M119" s="247">
        <f>M112+M117+M118</f>
        <v>39522914.770000003</v>
      </c>
    </row>
    <row r="120" spans="1:13" s="55" customFormat="1">
      <c r="A120" s="209"/>
      <c r="B120" s="257"/>
      <c r="C120" s="222"/>
      <c r="D120" s="254"/>
      <c r="E120" s="251"/>
      <c r="F120" s="254"/>
      <c r="G120" s="255"/>
      <c r="H120" s="225"/>
      <c r="I120" s="225"/>
      <c r="J120" s="226"/>
      <c r="K120" s="227"/>
      <c r="L120" s="209"/>
      <c r="M120" s="228"/>
    </row>
    <row r="121" spans="1:13" s="81" customFormat="1" ht="15.75" thickBot="1">
      <c r="A121" s="258"/>
      <c r="B121" s="276" t="s">
        <v>1491</v>
      </c>
      <c r="C121" s="277"/>
      <c r="D121" s="278"/>
      <c r="E121" s="277"/>
      <c r="F121" s="279"/>
      <c r="G121" s="280"/>
      <c r="H121" s="281">
        <f>H109-H119</f>
        <v>0</v>
      </c>
      <c r="I121" s="281">
        <f>I109-I119</f>
        <v>21691560.440000072</v>
      </c>
      <c r="J121" s="282">
        <f>H121-I121</f>
        <v>-21691560.440000072</v>
      </c>
      <c r="K121" s="283">
        <f>IF(I121=0,"-    ",J121/I121)</f>
        <v>-1</v>
      </c>
      <c r="L121" s="265"/>
      <c r="M121" s="220">
        <f>M109-M119</f>
        <v>17621023.610000648</v>
      </c>
    </row>
    <row r="122" spans="1:13" s="55" customFormat="1">
      <c r="B122" s="82"/>
      <c r="C122" s="82"/>
      <c r="D122" s="83"/>
      <c r="E122" s="83"/>
      <c r="F122" s="84"/>
      <c r="G122" s="84"/>
      <c r="H122" s="85"/>
      <c r="I122" s="85"/>
      <c r="J122" s="86"/>
      <c r="K122" s="87"/>
      <c r="M122" s="85"/>
    </row>
    <row r="123" spans="1:13">
      <c r="B123" s="88"/>
      <c r="C123" s="88"/>
      <c r="D123" s="54"/>
      <c r="E123" s="54"/>
      <c r="F123" s="54"/>
      <c r="G123" s="54"/>
      <c r="H123" s="52"/>
      <c r="I123" s="89"/>
      <c r="M123" s="89"/>
    </row>
    <row r="124" spans="1:13">
      <c r="B124" s="90"/>
      <c r="C124" s="90"/>
      <c r="D124" s="91"/>
      <c r="E124" s="91"/>
      <c r="F124" s="91"/>
      <c r="G124" s="92"/>
      <c r="H124" s="89"/>
      <c r="I124" s="89"/>
      <c r="M124" s="89"/>
    </row>
    <row r="125" spans="1:13">
      <c r="B125" s="90"/>
      <c r="C125" s="90"/>
      <c r="D125" s="91"/>
      <c r="E125" s="91"/>
      <c r="F125" s="91"/>
      <c r="G125" s="92"/>
      <c r="H125" s="89"/>
      <c r="I125" s="89"/>
      <c r="M125" s="89"/>
    </row>
    <row r="126" spans="1:13">
      <c r="B126" s="90"/>
      <c r="C126" s="90"/>
      <c r="D126" s="91"/>
      <c r="E126" s="91"/>
      <c r="F126" s="91"/>
      <c r="G126" s="92"/>
      <c r="H126" s="89"/>
      <c r="I126" s="89"/>
      <c r="M126" s="89"/>
    </row>
    <row r="127" spans="1:13">
      <c r="B127" s="90"/>
      <c r="C127" s="90"/>
      <c r="D127" s="91"/>
      <c r="E127" s="91"/>
      <c r="F127" s="91"/>
      <c r="G127" s="92"/>
      <c r="H127" s="89"/>
      <c r="I127" s="89"/>
      <c r="M127" s="89"/>
    </row>
    <row r="128" spans="1:13">
      <c r="B128" s="90"/>
      <c r="C128" s="90"/>
      <c r="D128" s="91"/>
      <c r="E128" s="91"/>
      <c r="F128" s="91"/>
      <c r="G128" s="92"/>
      <c r="H128" s="89"/>
      <c r="I128" s="89"/>
      <c r="M128" s="89"/>
    </row>
    <row r="129" spans="2:15">
      <c r="B129" s="90"/>
      <c r="C129" s="90"/>
      <c r="D129" s="91"/>
      <c r="E129" s="91"/>
      <c r="F129" s="91"/>
      <c r="G129" s="92"/>
      <c r="H129" s="89"/>
      <c r="I129" s="89"/>
      <c r="M129" s="89"/>
    </row>
    <row r="130" spans="2:15">
      <c r="B130" s="90"/>
      <c r="C130" s="90"/>
      <c r="D130" s="91"/>
      <c r="E130" s="91"/>
      <c r="F130" s="91"/>
      <c r="G130" s="92"/>
      <c r="H130" s="89"/>
      <c r="I130" s="89"/>
      <c r="M130" s="89"/>
    </row>
    <row r="131" spans="2:15">
      <c r="B131" s="90"/>
      <c r="C131" s="90"/>
      <c r="D131" s="91"/>
      <c r="E131" s="91"/>
      <c r="F131" s="91"/>
      <c r="G131" s="92"/>
      <c r="H131" s="89"/>
      <c r="I131" s="89"/>
      <c r="M131" s="89"/>
    </row>
    <row r="132" spans="2:15">
      <c r="B132" s="90"/>
      <c r="C132" s="90"/>
      <c r="D132" s="91"/>
      <c r="E132" s="91"/>
      <c r="F132" s="91"/>
      <c r="G132" s="92"/>
      <c r="H132" s="89"/>
      <c r="I132" s="89"/>
      <c r="M132" s="89"/>
    </row>
    <row r="133" spans="2:15">
      <c r="B133" s="90"/>
      <c r="C133" s="90"/>
      <c r="D133" s="91"/>
      <c r="E133" s="91"/>
      <c r="F133" s="91"/>
      <c r="G133" s="92"/>
      <c r="H133" s="89"/>
      <c r="I133" s="89"/>
      <c r="M133" s="89"/>
    </row>
    <row r="134" spans="2:15">
      <c r="B134" s="90"/>
      <c r="C134" s="90"/>
      <c r="D134" s="91"/>
      <c r="E134" s="91"/>
      <c r="F134" s="91"/>
      <c r="G134" s="92"/>
      <c r="H134" s="89"/>
      <c r="I134" s="89"/>
      <c r="M134" s="89"/>
    </row>
    <row r="135" spans="2:15">
      <c r="B135" s="90"/>
      <c r="C135" s="90"/>
      <c r="D135" s="91"/>
      <c r="E135" s="91"/>
      <c r="F135" s="91"/>
      <c r="G135" s="92"/>
    </row>
    <row r="136" spans="2:15">
      <c r="B136" s="90"/>
      <c r="C136" s="90"/>
      <c r="D136" s="91"/>
      <c r="E136" s="91"/>
      <c r="F136" s="91"/>
      <c r="G136" s="92"/>
    </row>
    <row r="137" spans="2:15">
      <c r="B137" s="90"/>
      <c r="C137" s="90"/>
      <c r="D137" s="91"/>
      <c r="E137" s="91"/>
      <c r="F137" s="91"/>
      <c r="G137" s="92"/>
    </row>
    <row r="138" spans="2:15">
      <c r="B138" s="90"/>
      <c r="C138" s="90"/>
      <c r="D138" s="91"/>
      <c r="E138" s="91"/>
      <c r="F138" s="91"/>
      <c r="G138" s="92"/>
    </row>
    <row r="139" spans="2:15">
      <c r="B139" s="90"/>
      <c r="C139" s="90"/>
      <c r="D139" s="91"/>
      <c r="E139" s="91"/>
      <c r="F139" s="91"/>
      <c r="G139" s="92"/>
    </row>
    <row r="140" spans="2:15">
      <c r="B140" s="90"/>
      <c r="C140" s="90"/>
      <c r="D140" s="91"/>
      <c r="E140" s="91"/>
      <c r="F140" s="91"/>
      <c r="G140" s="92"/>
    </row>
    <row r="141" spans="2:15">
      <c r="B141" s="90"/>
      <c r="C141" s="90"/>
      <c r="D141" s="91"/>
      <c r="E141" s="91"/>
      <c r="F141" s="91"/>
      <c r="G141" s="92"/>
    </row>
    <row r="142" spans="2:15">
      <c r="B142" s="90"/>
      <c r="C142" s="90"/>
      <c r="D142" s="91"/>
      <c r="E142" s="91"/>
      <c r="F142" s="91"/>
      <c r="G142" s="92"/>
    </row>
    <row r="143" spans="2:15" s="93" customFormat="1">
      <c r="B143" s="90"/>
      <c r="C143" s="90"/>
      <c r="D143" s="91"/>
      <c r="E143" s="91"/>
      <c r="F143" s="91"/>
      <c r="G143" s="92"/>
      <c r="H143" s="64"/>
      <c r="I143" s="64"/>
      <c r="J143" s="64"/>
      <c r="K143" s="64"/>
      <c r="L143" s="64"/>
      <c r="M143" s="64"/>
      <c r="N143" s="64"/>
      <c r="O143" s="64"/>
    </row>
    <row r="144" spans="2:15" s="93" customFormat="1">
      <c r="B144" s="90"/>
      <c r="C144" s="90"/>
      <c r="D144" s="91"/>
      <c r="E144" s="91"/>
      <c r="F144" s="91"/>
      <c r="G144" s="92"/>
      <c r="H144" s="64"/>
      <c r="I144" s="64"/>
      <c r="J144" s="64"/>
      <c r="K144" s="64"/>
      <c r="L144" s="64"/>
      <c r="M144" s="64"/>
      <c r="N144" s="64"/>
      <c r="O144" s="64"/>
    </row>
    <row r="145" spans="2:15" s="93" customFormat="1">
      <c r="B145" s="90"/>
      <c r="C145" s="90"/>
      <c r="D145" s="91"/>
      <c r="E145" s="91"/>
      <c r="F145" s="91"/>
      <c r="G145" s="92"/>
      <c r="H145" s="64"/>
      <c r="I145" s="64"/>
      <c r="J145" s="64"/>
      <c r="K145" s="64"/>
      <c r="L145" s="64"/>
      <c r="M145" s="64"/>
      <c r="N145" s="64"/>
      <c r="O145" s="64"/>
    </row>
    <row r="146" spans="2:15" s="93" customFormat="1">
      <c r="B146" s="90"/>
      <c r="C146" s="90"/>
      <c r="D146" s="91"/>
      <c r="E146" s="91"/>
      <c r="F146" s="91"/>
      <c r="G146" s="92"/>
      <c r="H146" s="64"/>
      <c r="I146" s="64"/>
      <c r="J146" s="64"/>
      <c r="K146" s="64"/>
      <c r="L146" s="64"/>
      <c r="M146" s="64"/>
      <c r="N146" s="64"/>
      <c r="O146" s="64"/>
    </row>
    <row r="147" spans="2:15" s="93" customFormat="1">
      <c r="B147" s="90"/>
      <c r="C147" s="90"/>
      <c r="D147" s="91"/>
      <c r="E147" s="91"/>
      <c r="F147" s="91"/>
      <c r="G147" s="92"/>
      <c r="H147" s="64"/>
      <c r="I147" s="64"/>
      <c r="J147" s="64"/>
      <c r="K147" s="64"/>
      <c r="L147" s="64"/>
      <c r="M147" s="64"/>
      <c r="N147" s="64"/>
      <c r="O147" s="64"/>
    </row>
    <row r="148" spans="2:15" s="93" customFormat="1">
      <c r="B148" s="90"/>
      <c r="C148" s="90"/>
      <c r="D148" s="91"/>
      <c r="E148" s="91"/>
      <c r="F148" s="91"/>
      <c r="G148" s="92"/>
      <c r="H148" s="64"/>
      <c r="I148" s="64"/>
      <c r="J148" s="64"/>
      <c r="K148" s="64"/>
      <c r="L148" s="64"/>
      <c r="M148" s="64"/>
      <c r="N148" s="64"/>
      <c r="O148" s="64"/>
    </row>
    <row r="149" spans="2:15" s="93" customFormat="1">
      <c r="B149" s="90"/>
      <c r="C149" s="90"/>
      <c r="D149" s="91"/>
      <c r="E149" s="91"/>
      <c r="F149" s="91"/>
      <c r="G149" s="92"/>
      <c r="H149" s="64"/>
      <c r="I149" s="64"/>
      <c r="J149" s="64"/>
      <c r="K149" s="64"/>
      <c r="L149" s="64"/>
      <c r="M149" s="64"/>
      <c r="N149" s="64"/>
      <c r="O149" s="64"/>
    </row>
    <row r="150" spans="2:15" s="93" customFormat="1">
      <c r="B150" s="90"/>
      <c r="C150" s="90"/>
      <c r="D150" s="91"/>
      <c r="E150" s="91"/>
      <c r="F150" s="91"/>
      <c r="G150" s="92"/>
      <c r="H150" s="64"/>
      <c r="I150" s="64"/>
      <c r="J150" s="64"/>
      <c r="K150" s="64"/>
      <c r="L150" s="64"/>
      <c r="M150" s="64"/>
      <c r="N150" s="64"/>
      <c r="O150" s="64"/>
    </row>
    <row r="151" spans="2:15" s="93" customFormat="1">
      <c r="B151" s="90"/>
      <c r="C151" s="90"/>
      <c r="D151" s="91"/>
      <c r="E151" s="91"/>
      <c r="F151" s="91"/>
      <c r="G151" s="92"/>
      <c r="H151" s="64"/>
      <c r="I151" s="64"/>
      <c r="J151" s="64"/>
      <c r="K151" s="64"/>
      <c r="L151" s="64"/>
      <c r="M151" s="64"/>
      <c r="N151" s="64"/>
      <c r="O151" s="64"/>
    </row>
    <row r="152" spans="2:15" s="93" customFormat="1">
      <c r="B152" s="90"/>
      <c r="C152" s="90"/>
      <c r="D152" s="91"/>
      <c r="E152" s="91"/>
      <c r="F152" s="91"/>
      <c r="G152" s="92"/>
      <c r="H152" s="64"/>
      <c r="I152" s="64"/>
      <c r="J152" s="64"/>
      <c r="K152" s="64"/>
      <c r="L152" s="64"/>
      <c r="M152" s="64"/>
      <c r="N152" s="64"/>
      <c r="O152" s="64"/>
    </row>
    <row r="153" spans="2:15" s="93" customFormat="1">
      <c r="B153" s="90"/>
      <c r="C153" s="90"/>
      <c r="D153" s="91"/>
      <c r="E153" s="91"/>
      <c r="F153" s="91"/>
      <c r="G153" s="92"/>
      <c r="H153" s="64"/>
      <c r="I153" s="64"/>
      <c r="J153" s="64"/>
      <c r="K153" s="64"/>
      <c r="L153" s="64"/>
      <c r="M153" s="64"/>
      <c r="N153" s="64"/>
      <c r="O153" s="64"/>
    </row>
    <row r="154" spans="2:15" s="93" customFormat="1">
      <c r="B154" s="90"/>
      <c r="C154" s="90"/>
      <c r="D154" s="91"/>
      <c r="E154" s="91"/>
      <c r="F154" s="91"/>
      <c r="G154" s="92"/>
      <c r="H154" s="64"/>
      <c r="I154" s="64"/>
      <c r="J154" s="64"/>
      <c r="K154" s="64"/>
      <c r="L154" s="64"/>
      <c r="M154" s="64"/>
      <c r="N154" s="64"/>
      <c r="O154" s="64"/>
    </row>
    <row r="155" spans="2:15" s="93" customFormat="1">
      <c r="B155" s="90"/>
      <c r="C155" s="90"/>
      <c r="D155" s="91"/>
      <c r="E155" s="91"/>
      <c r="F155" s="91"/>
      <c r="G155" s="92"/>
      <c r="H155" s="64"/>
      <c r="I155" s="64"/>
      <c r="J155" s="64"/>
      <c r="K155" s="64"/>
      <c r="L155" s="64"/>
      <c r="M155" s="64"/>
      <c r="N155" s="64"/>
      <c r="O155" s="64"/>
    </row>
    <row r="156" spans="2:15" s="93" customFormat="1">
      <c r="B156" s="90"/>
      <c r="C156" s="90"/>
      <c r="D156" s="91"/>
      <c r="E156" s="91"/>
      <c r="F156" s="91"/>
      <c r="G156" s="92"/>
      <c r="H156" s="64"/>
      <c r="I156" s="64"/>
      <c r="J156" s="64"/>
      <c r="K156" s="64"/>
      <c r="L156" s="64"/>
      <c r="M156" s="64"/>
      <c r="N156" s="64"/>
      <c r="O156" s="64"/>
    </row>
    <row r="157" spans="2:15" s="93" customFormat="1">
      <c r="B157" s="90"/>
      <c r="C157" s="90"/>
      <c r="D157" s="91"/>
      <c r="E157" s="91"/>
      <c r="F157" s="91"/>
      <c r="G157" s="92"/>
      <c r="H157" s="64"/>
      <c r="I157" s="64"/>
      <c r="J157" s="64"/>
      <c r="K157" s="64"/>
      <c r="L157" s="64"/>
      <c r="M157" s="64"/>
      <c r="N157" s="64"/>
      <c r="O157" s="64"/>
    </row>
    <row r="158" spans="2:15" s="93" customFormat="1">
      <c r="B158" s="90"/>
      <c r="C158" s="90"/>
      <c r="D158" s="91"/>
      <c r="E158" s="91"/>
      <c r="F158" s="91"/>
      <c r="G158" s="92"/>
      <c r="H158" s="64"/>
      <c r="I158" s="64"/>
      <c r="J158" s="64"/>
      <c r="K158" s="64"/>
      <c r="L158" s="64"/>
      <c r="M158" s="64"/>
      <c r="N158" s="64"/>
      <c r="O158" s="64"/>
    </row>
    <row r="159" spans="2:15" s="93" customFormat="1">
      <c r="B159" s="90"/>
      <c r="C159" s="90"/>
      <c r="D159" s="91"/>
      <c r="E159" s="91"/>
      <c r="F159" s="91"/>
      <c r="G159" s="92"/>
      <c r="H159" s="64"/>
      <c r="I159" s="64"/>
      <c r="J159" s="64"/>
      <c r="K159" s="64"/>
      <c r="L159" s="64"/>
      <c r="M159" s="64"/>
      <c r="N159" s="64"/>
      <c r="O159" s="64"/>
    </row>
    <row r="160" spans="2:15" s="93" customFormat="1">
      <c r="B160" s="90"/>
      <c r="C160" s="90"/>
      <c r="D160" s="91"/>
      <c r="E160" s="91"/>
      <c r="F160" s="91"/>
      <c r="G160" s="92"/>
      <c r="H160" s="64"/>
      <c r="I160" s="64"/>
      <c r="J160" s="64"/>
      <c r="K160" s="64"/>
      <c r="L160" s="64"/>
      <c r="M160" s="64"/>
      <c r="N160" s="64"/>
      <c r="O160" s="64"/>
    </row>
    <row r="161" spans="2:15" s="93" customFormat="1">
      <c r="B161" s="90"/>
      <c r="C161" s="90"/>
      <c r="D161" s="91"/>
      <c r="E161" s="91"/>
      <c r="F161" s="91"/>
      <c r="G161" s="92"/>
      <c r="H161" s="64"/>
      <c r="I161" s="64"/>
      <c r="J161" s="64"/>
      <c r="K161" s="64"/>
      <c r="L161" s="64"/>
      <c r="M161" s="64"/>
      <c r="N161" s="64"/>
      <c r="O161" s="64"/>
    </row>
    <row r="162" spans="2:15" s="93" customFormat="1">
      <c r="B162" s="90"/>
      <c r="C162" s="90"/>
      <c r="D162" s="91"/>
      <c r="E162" s="91"/>
      <c r="F162" s="91"/>
      <c r="G162" s="92"/>
      <c r="H162" s="64"/>
      <c r="I162" s="64"/>
      <c r="J162" s="64"/>
      <c r="K162" s="64"/>
      <c r="L162" s="64"/>
      <c r="M162" s="64"/>
      <c r="N162" s="64"/>
      <c r="O162" s="64"/>
    </row>
    <row r="163" spans="2:15" s="93" customFormat="1">
      <c r="B163" s="90"/>
      <c r="C163" s="90"/>
      <c r="D163" s="91"/>
      <c r="E163" s="91"/>
      <c r="F163" s="91"/>
      <c r="G163" s="92"/>
      <c r="H163" s="64"/>
      <c r="I163" s="64"/>
      <c r="J163" s="64"/>
      <c r="K163" s="64"/>
      <c r="L163" s="64"/>
      <c r="M163" s="64"/>
      <c r="N163" s="64"/>
      <c r="O163" s="64"/>
    </row>
    <row r="164" spans="2:15" s="93" customFormat="1">
      <c r="B164" s="90"/>
      <c r="C164" s="90"/>
      <c r="D164" s="91"/>
      <c r="E164" s="91"/>
      <c r="F164" s="91"/>
      <c r="G164" s="92"/>
      <c r="H164" s="64"/>
      <c r="I164" s="64"/>
      <c r="J164" s="64"/>
      <c r="K164" s="64"/>
      <c r="L164" s="64"/>
      <c r="M164" s="64"/>
      <c r="N164" s="64"/>
      <c r="O164" s="64"/>
    </row>
    <row r="165" spans="2:15" s="93" customFormat="1">
      <c r="B165" s="90"/>
      <c r="C165" s="90"/>
      <c r="D165" s="91"/>
      <c r="E165" s="91"/>
      <c r="F165" s="91"/>
      <c r="G165" s="92"/>
      <c r="H165" s="64"/>
      <c r="I165" s="64"/>
      <c r="J165" s="64"/>
      <c r="K165" s="64"/>
      <c r="L165" s="64"/>
      <c r="M165" s="64"/>
      <c r="N165" s="64"/>
      <c r="O165" s="64"/>
    </row>
    <row r="166" spans="2:15" s="93" customFormat="1">
      <c r="B166" s="90"/>
      <c r="C166" s="90"/>
      <c r="D166" s="91"/>
      <c r="E166" s="91"/>
      <c r="F166" s="91"/>
      <c r="G166" s="92"/>
      <c r="H166" s="64"/>
      <c r="I166" s="64"/>
      <c r="J166" s="64"/>
      <c r="K166" s="64"/>
      <c r="L166" s="64"/>
      <c r="M166" s="64"/>
      <c r="N166" s="64"/>
      <c r="O166" s="64"/>
    </row>
    <row r="167" spans="2:15" s="93" customFormat="1">
      <c r="B167" s="90"/>
      <c r="C167" s="90"/>
      <c r="D167" s="91"/>
      <c r="E167" s="91"/>
      <c r="F167" s="91"/>
      <c r="G167" s="92"/>
      <c r="H167" s="64"/>
      <c r="I167" s="64"/>
      <c r="J167" s="64"/>
      <c r="K167" s="64"/>
      <c r="L167" s="64"/>
      <c r="M167" s="64"/>
      <c r="N167" s="64"/>
      <c r="O167" s="64"/>
    </row>
    <row r="168" spans="2:15" s="93" customFormat="1">
      <c r="B168" s="94"/>
      <c r="C168" s="94"/>
      <c r="G168" s="64"/>
      <c r="H168" s="64"/>
      <c r="I168" s="64"/>
      <c r="J168" s="64"/>
      <c r="K168" s="64"/>
      <c r="L168" s="64"/>
      <c r="M168" s="64"/>
      <c r="N168" s="64"/>
      <c r="O168" s="64"/>
    </row>
    <row r="169" spans="2:15" s="93" customFormat="1">
      <c r="B169" s="94"/>
      <c r="C169" s="94"/>
      <c r="G169" s="64"/>
      <c r="H169" s="64"/>
      <c r="I169" s="64"/>
      <c r="J169" s="64"/>
      <c r="K169" s="64"/>
      <c r="L169" s="64"/>
      <c r="M169" s="64"/>
      <c r="N169" s="64"/>
      <c r="O169" s="64"/>
    </row>
    <row r="170" spans="2:15" s="93" customFormat="1">
      <c r="B170" s="94"/>
      <c r="C170" s="94"/>
      <c r="G170" s="64"/>
      <c r="H170" s="64"/>
      <c r="I170" s="64"/>
      <c r="J170" s="64"/>
      <c r="K170" s="64"/>
      <c r="L170" s="64"/>
      <c r="M170" s="64"/>
      <c r="N170" s="64"/>
      <c r="O170" s="64"/>
    </row>
    <row r="171" spans="2:15" s="93" customFormat="1">
      <c r="B171" s="94"/>
      <c r="C171" s="94"/>
      <c r="G171" s="64"/>
      <c r="H171" s="64"/>
      <c r="I171" s="64"/>
      <c r="J171" s="64"/>
      <c r="K171" s="64"/>
      <c r="L171" s="64"/>
      <c r="M171" s="64"/>
      <c r="N171" s="64"/>
      <c r="O171" s="64"/>
    </row>
    <row r="172" spans="2:15" s="93" customFormat="1">
      <c r="B172" s="94"/>
      <c r="C172" s="94"/>
      <c r="G172" s="64"/>
      <c r="H172" s="64"/>
      <c r="I172" s="64"/>
      <c r="J172" s="64"/>
      <c r="K172" s="64"/>
      <c r="L172" s="64"/>
      <c r="M172" s="64"/>
      <c r="N172" s="64"/>
      <c r="O172" s="64"/>
    </row>
    <row r="173" spans="2:15" s="93" customFormat="1">
      <c r="B173" s="94"/>
      <c r="C173" s="94"/>
      <c r="G173" s="64"/>
      <c r="H173" s="64"/>
      <c r="I173" s="64"/>
      <c r="J173" s="64"/>
      <c r="K173" s="64"/>
      <c r="L173" s="64"/>
      <c r="M173" s="64"/>
      <c r="N173" s="64"/>
      <c r="O173" s="64"/>
    </row>
    <row r="174" spans="2:15" s="93" customFormat="1">
      <c r="B174" s="94"/>
      <c r="C174" s="94"/>
      <c r="G174" s="64"/>
      <c r="H174" s="64"/>
      <c r="I174" s="64"/>
      <c r="J174" s="64"/>
      <c r="K174" s="64"/>
      <c r="L174" s="64"/>
      <c r="M174" s="64"/>
      <c r="N174" s="64"/>
      <c r="O174" s="64"/>
    </row>
    <row r="175" spans="2:15" s="93" customFormat="1">
      <c r="B175" s="94"/>
      <c r="C175" s="94"/>
      <c r="G175" s="64"/>
      <c r="H175" s="64"/>
      <c r="I175" s="64"/>
      <c r="J175" s="64"/>
      <c r="K175" s="64"/>
      <c r="L175" s="64"/>
      <c r="M175" s="64"/>
      <c r="N175" s="64"/>
      <c r="O175" s="64"/>
    </row>
    <row r="176" spans="2:15" s="93" customFormat="1">
      <c r="B176" s="94"/>
      <c r="C176" s="94"/>
      <c r="G176" s="64"/>
      <c r="H176" s="64"/>
      <c r="I176" s="64"/>
      <c r="J176" s="64"/>
      <c r="K176" s="64"/>
      <c r="L176" s="64"/>
      <c r="M176" s="64"/>
      <c r="N176" s="64"/>
      <c r="O176" s="64"/>
    </row>
    <row r="177" spans="2:15" s="93" customFormat="1">
      <c r="B177" s="94"/>
      <c r="C177" s="94"/>
      <c r="G177" s="64"/>
      <c r="H177" s="64"/>
      <c r="I177" s="64"/>
      <c r="J177" s="64"/>
      <c r="K177" s="64"/>
      <c r="L177" s="64"/>
      <c r="M177" s="64"/>
      <c r="N177" s="64"/>
      <c r="O177" s="64"/>
    </row>
    <row r="178" spans="2:15" s="93" customFormat="1">
      <c r="B178" s="94"/>
      <c r="C178" s="94"/>
      <c r="G178" s="64"/>
      <c r="H178" s="64"/>
      <c r="I178" s="64"/>
      <c r="J178" s="64"/>
      <c r="K178" s="64"/>
      <c r="L178" s="64"/>
      <c r="M178" s="64"/>
      <c r="N178" s="64"/>
      <c r="O178" s="64"/>
    </row>
    <row r="179" spans="2:15" s="93" customFormat="1">
      <c r="B179" s="94"/>
      <c r="C179" s="94"/>
      <c r="G179" s="64"/>
      <c r="H179" s="64"/>
      <c r="I179" s="64"/>
      <c r="J179" s="64"/>
      <c r="K179" s="64"/>
      <c r="L179" s="64"/>
      <c r="M179" s="64"/>
      <c r="N179" s="64"/>
      <c r="O179" s="64"/>
    </row>
    <row r="180" spans="2:15" s="93" customFormat="1">
      <c r="B180" s="94"/>
      <c r="C180" s="94"/>
      <c r="G180" s="64"/>
      <c r="H180" s="64"/>
      <c r="I180" s="64"/>
      <c r="J180" s="64"/>
      <c r="K180" s="64"/>
      <c r="L180" s="64"/>
      <c r="M180" s="64"/>
      <c r="N180" s="64"/>
      <c r="O180" s="64"/>
    </row>
    <row r="181" spans="2:15" s="93" customFormat="1">
      <c r="B181" s="94"/>
      <c r="C181" s="94"/>
      <c r="G181" s="64"/>
      <c r="H181" s="64"/>
      <c r="I181" s="64"/>
      <c r="J181" s="64"/>
      <c r="K181" s="64"/>
      <c r="L181" s="64"/>
      <c r="M181" s="64"/>
      <c r="N181" s="64"/>
      <c r="O181" s="64"/>
    </row>
    <row r="182" spans="2:15" s="93" customFormat="1">
      <c r="B182" s="94"/>
      <c r="C182" s="94"/>
      <c r="G182" s="64"/>
      <c r="H182" s="64"/>
      <c r="I182" s="64"/>
      <c r="J182" s="64"/>
      <c r="K182" s="64"/>
      <c r="L182" s="64"/>
      <c r="M182" s="64"/>
      <c r="N182" s="64"/>
      <c r="O182" s="64"/>
    </row>
    <row r="183" spans="2:15" s="93" customFormat="1">
      <c r="B183" s="94"/>
      <c r="C183" s="94"/>
      <c r="G183" s="64"/>
      <c r="H183" s="64"/>
      <c r="I183" s="64"/>
      <c r="J183" s="64"/>
      <c r="K183" s="64"/>
      <c r="L183" s="64"/>
      <c r="M183" s="64"/>
      <c r="N183" s="64"/>
      <c r="O183" s="64"/>
    </row>
    <row r="184" spans="2:15" s="93" customFormat="1">
      <c r="B184" s="94"/>
      <c r="C184" s="94"/>
      <c r="G184" s="64"/>
      <c r="H184" s="64"/>
      <c r="I184" s="64"/>
      <c r="J184" s="64"/>
      <c r="K184" s="64"/>
      <c r="L184" s="64"/>
      <c r="M184" s="64"/>
      <c r="N184" s="64"/>
      <c r="O184" s="64"/>
    </row>
    <row r="185" spans="2:15" s="93" customFormat="1">
      <c r="B185" s="94"/>
      <c r="C185" s="94"/>
      <c r="G185" s="64"/>
      <c r="H185" s="64"/>
      <c r="I185" s="64"/>
      <c r="J185" s="64"/>
      <c r="K185" s="64"/>
      <c r="L185" s="64"/>
      <c r="M185" s="64"/>
      <c r="N185" s="64"/>
      <c r="O185" s="64"/>
    </row>
    <row r="186" spans="2:15" s="93" customFormat="1">
      <c r="B186" s="94"/>
      <c r="C186" s="94"/>
      <c r="G186" s="64"/>
      <c r="H186" s="64"/>
      <c r="I186" s="64"/>
      <c r="J186" s="64"/>
      <c r="K186" s="64"/>
      <c r="L186" s="64"/>
      <c r="M186" s="64"/>
      <c r="N186" s="64"/>
      <c r="O186" s="64"/>
    </row>
    <row r="187" spans="2:15" s="93" customFormat="1">
      <c r="B187" s="94"/>
      <c r="C187" s="94"/>
      <c r="G187" s="64"/>
      <c r="H187" s="64"/>
      <c r="I187" s="64"/>
      <c r="J187" s="64"/>
      <c r="K187" s="64"/>
      <c r="L187" s="64"/>
      <c r="M187" s="64"/>
      <c r="N187" s="64"/>
      <c r="O187" s="64"/>
    </row>
    <row r="188" spans="2:15" s="93" customFormat="1">
      <c r="B188" s="94"/>
      <c r="C188" s="94"/>
      <c r="G188" s="64"/>
      <c r="H188" s="64"/>
      <c r="I188" s="64"/>
      <c r="J188" s="64"/>
      <c r="K188" s="64"/>
      <c r="L188" s="64"/>
      <c r="M188" s="64"/>
      <c r="N188" s="64"/>
      <c r="O188" s="64"/>
    </row>
    <row r="189" spans="2:15" s="93" customFormat="1">
      <c r="B189" s="94"/>
      <c r="C189" s="94"/>
      <c r="G189" s="64"/>
      <c r="H189" s="64"/>
      <c r="I189" s="64"/>
      <c r="J189" s="64"/>
      <c r="K189" s="64"/>
      <c r="L189" s="64"/>
      <c r="M189" s="64"/>
      <c r="N189" s="64"/>
      <c r="O189" s="64"/>
    </row>
    <row r="190" spans="2:15" s="93" customFormat="1">
      <c r="B190" s="94"/>
      <c r="C190" s="94"/>
      <c r="G190" s="64"/>
      <c r="H190" s="64"/>
      <c r="I190" s="64"/>
      <c r="J190" s="64"/>
      <c r="K190" s="64"/>
      <c r="L190" s="64"/>
      <c r="M190" s="64"/>
      <c r="N190" s="64"/>
      <c r="O190" s="64"/>
    </row>
    <row r="191" spans="2:15" s="93" customFormat="1">
      <c r="B191" s="94"/>
      <c r="C191" s="94"/>
      <c r="G191" s="64"/>
      <c r="H191" s="64"/>
      <c r="I191" s="64"/>
      <c r="J191" s="64"/>
      <c r="K191" s="64"/>
      <c r="L191" s="64"/>
      <c r="M191" s="64"/>
      <c r="N191" s="64"/>
      <c r="O191" s="64"/>
    </row>
    <row r="192" spans="2:15" s="93" customFormat="1">
      <c r="B192" s="94"/>
      <c r="C192" s="94"/>
      <c r="G192" s="64"/>
      <c r="H192" s="64"/>
      <c r="I192" s="64"/>
      <c r="J192" s="64"/>
      <c r="K192" s="64"/>
      <c r="L192" s="64"/>
      <c r="M192" s="64"/>
      <c r="N192" s="64"/>
      <c r="O192" s="64"/>
    </row>
    <row r="193" spans="2:15" s="93" customFormat="1">
      <c r="B193" s="94"/>
      <c r="C193" s="94"/>
      <c r="G193" s="64"/>
      <c r="H193" s="64"/>
      <c r="I193" s="64"/>
      <c r="J193" s="64"/>
      <c r="K193" s="64"/>
      <c r="L193" s="64"/>
      <c r="M193" s="64"/>
      <c r="N193" s="64"/>
      <c r="O193" s="64"/>
    </row>
    <row r="194" spans="2:15" s="93" customFormat="1">
      <c r="B194" s="94"/>
      <c r="C194" s="94"/>
      <c r="G194" s="64"/>
      <c r="H194" s="64"/>
      <c r="I194" s="64"/>
      <c r="J194" s="64"/>
      <c r="K194" s="64"/>
      <c r="L194" s="64"/>
      <c r="M194" s="64"/>
      <c r="N194" s="64"/>
      <c r="O194" s="64"/>
    </row>
    <row r="195" spans="2:15" s="93" customFormat="1">
      <c r="B195" s="94"/>
      <c r="C195" s="94"/>
      <c r="G195" s="64"/>
      <c r="H195" s="64"/>
      <c r="I195" s="64"/>
      <c r="J195" s="64"/>
      <c r="K195" s="64"/>
      <c r="L195" s="64"/>
      <c r="M195" s="64"/>
      <c r="N195" s="64"/>
      <c r="O195" s="64"/>
    </row>
    <row r="196" spans="2:15" s="93" customFormat="1">
      <c r="B196" s="94"/>
      <c r="C196" s="94"/>
      <c r="G196" s="64"/>
      <c r="H196" s="64"/>
      <c r="I196" s="64"/>
      <c r="J196" s="64"/>
      <c r="K196" s="64"/>
      <c r="L196" s="64"/>
      <c r="M196" s="64"/>
      <c r="N196" s="64"/>
      <c r="O196" s="64"/>
    </row>
    <row r="197" spans="2:15" s="93" customFormat="1">
      <c r="B197" s="94"/>
      <c r="G197" s="64"/>
      <c r="H197" s="64"/>
      <c r="I197" s="64"/>
      <c r="J197" s="64"/>
      <c r="K197" s="64"/>
      <c r="L197" s="64"/>
      <c r="M197" s="64"/>
      <c r="N197" s="64"/>
      <c r="O197" s="64"/>
    </row>
    <row r="198" spans="2:15" s="93" customFormat="1">
      <c r="B198" s="94"/>
      <c r="G198" s="64"/>
      <c r="H198" s="64"/>
      <c r="I198" s="64"/>
      <c r="J198" s="64"/>
      <c r="K198" s="64"/>
      <c r="L198" s="64"/>
      <c r="M198" s="64"/>
      <c r="N198" s="64"/>
      <c r="O198" s="64"/>
    </row>
    <row r="199" spans="2:15" s="93" customFormat="1">
      <c r="B199" s="94"/>
      <c r="G199" s="64"/>
      <c r="H199" s="64"/>
      <c r="I199" s="64"/>
      <c r="J199" s="64"/>
      <c r="K199" s="64"/>
      <c r="L199" s="64"/>
      <c r="M199" s="64"/>
      <c r="N199" s="64"/>
      <c r="O199" s="64"/>
    </row>
    <row r="200" spans="2:15" s="93" customFormat="1">
      <c r="B200" s="94"/>
      <c r="G200" s="64"/>
      <c r="H200" s="64"/>
      <c r="I200" s="64"/>
      <c r="J200" s="64"/>
      <c r="K200" s="64"/>
      <c r="L200" s="64"/>
      <c r="M200" s="64"/>
      <c r="N200" s="64"/>
      <c r="O200" s="64"/>
    </row>
    <row r="201" spans="2:15" s="93" customFormat="1">
      <c r="B201" s="94"/>
      <c r="G201" s="64"/>
      <c r="H201" s="64"/>
      <c r="I201" s="64"/>
      <c r="J201" s="64"/>
      <c r="K201" s="64"/>
      <c r="L201" s="64"/>
      <c r="M201" s="64"/>
      <c r="N201" s="64"/>
      <c r="O201" s="64"/>
    </row>
    <row r="202" spans="2:15" s="93" customFormat="1">
      <c r="B202" s="94"/>
      <c r="G202" s="64"/>
      <c r="H202" s="64"/>
      <c r="I202" s="64"/>
      <c r="J202" s="64"/>
      <c r="K202" s="64"/>
      <c r="L202" s="64"/>
      <c r="M202" s="64"/>
      <c r="N202" s="64"/>
      <c r="O202" s="64"/>
    </row>
    <row r="203" spans="2:15" s="93" customFormat="1">
      <c r="B203" s="94"/>
      <c r="G203" s="64"/>
      <c r="H203" s="64"/>
      <c r="I203" s="64"/>
      <c r="J203" s="64"/>
      <c r="K203" s="64"/>
      <c r="L203" s="64"/>
      <c r="M203" s="64"/>
      <c r="N203" s="64"/>
      <c r="O203" s="64"/>
    </row>
    <row r="204" spans="2:15" s="93" customFormat="1">
      <c r="B204" s="94"/>
      <c r="G204" s="64"/>
      <c r="H204" s="64"/>
      <c r="I204" s="64"/>
      <c r="J204" s="64"/>
      <c r="K204" s="64"/>
      <c r="L204" s="64"/>
      <c r="M204" s="64"/>
      <c r="N204" s="64"/>
      <c r="O204" s="64"/>
    </row>
    <row r="205" spans="2:15" s="93" customFormat="1">
      <c r="B205" s="94"/>
      <c r="G205" s="64"/>
      <c r="H205" s="64"/>
      <c r="I205" s="64"/>
      <c r="J205" s="64"/>
      <c r="K205" s="64"/>
      <c r="L205" s="64"/>
      <c r="M205" s="64"/>
      <c r="N205" s="64"/>
      <c r="O205" s="64"/>
    </row>
    <row r="206" spans="2:15" s="93" customFormat="1">
      <c r="B206" s="94"/>
      <c r="G206" s="64"/>
      <c r="H206" s="64"/>
      <c r="I206" s="64"/>
      <c r="J206" s="64"/>
      <c r="K206" s="64"/>
      <c r="L206" s="64"/>
      <c r="M206" s="64"/>
      <c r="N206" s="64"/>
      <c r="O206" s="64"/>
    </row>
    <row r="207" spans="2:15" s="93" customFormat="1">
      <c r="B207" s="94"/>
      <c r="G207" s="64"/>
      <c r="H207" s="64"/>
      <c r="I207" s="64"/>
      <c r="J207" s="64"/>
      <c r="K207" s="64"/>
      <c r="L207" s="64"/>
      <c r="M207" s="64"/>
      <c r="N207" s="64"/>
      <c r="O207" s="64"/>
    </row>
    <row r="208" spans="2:15" s="93" customFormat="1">
      <c r="B208" s="94"/>
      <c r="G208" s="64"/>
      <c r="H208" s="64"/>
      <c r="I208" s="64"/>
      <c r="J208" s="64"/>
      <c r="K208" s="64"/>
      <c r="L208" s="64"/>
      <c r="M208" s="64"/>
      <c r="N208" s="64"/>
      <c r="O208" s="64"/>
    </row>
    <row r="209" spans="2:15" s="93" customFormat="1">
      <c r="B209" s="94"/>
      <c r="G209" s="64"/>
      <c r="H209" s="64"/>
      <c r="I209" s="64"/>
      <c r="J209" s="64"/>
      <c r="K209" s="64"/>
      <c r="L209" s="64"/>
      <c r="M209" s="64"/>
      <c r="N209" s="64"/>
      <c r="O209" s="64"/>
    </row>
    <row r="210" spans="2:15" s="93" customFormat="1">
      <c r="B210" s="94"/>
      <c r="G210" s="64"/>
      <c r="H210" s="64"/>
      <c r="I210" s="64"/>
      <c r="J210" s="64"/>
      <c r="K210" s="64"/>
      <c r="L210" s="64"/>
      <c r="M210" s="64"/>
      <c r="N210" s="64"/>
      <c r="O210" s="64"/>
    </row>
    <row r="211" spans="2:15" s="93" customFormat="1">
      <c r="B211" s="94"/>
      <c r="G211" s="64"/>
      <c r="H211" s="64"/>
      <c r="I211" s="64"/>
      <c r="J211" s="64"/>
      <c r="K211" s="64"/>
      <c r="L211" s="64"/>
      <c r="M211" s="64"/>
      <c r="N211" s="64"/>
      <c r="O211" s="64"/>
    </row>
    <row r="212" spans="2:15" s="93" customFormat="1">
      <c r="B212" s="94"/>
      <c r="G212" s="64"/>
      <c r="H212" s="64"/>
      <c r="I212" s="64"/>
      <c r="J212" s="64"/>
      <c r="K212" s="64"/>
      <c r="L212" s="64"/>
      <c r="M212" s="64"/>
      <c r="N212" s="64"/>
      <c r="O212" s="64"/>
    </row>
    <row r="213" spans="2:15" s="93" customFormat="1">
      <c r="B213" s="94"/>
      <c r="G213" s="64"/>
      <c r="H213" s="64"/>
      <c r="I213" s="64"/>
      <c r="J213" s="64"/>
      <c r="K213" s="64"/>
      <c r="L213" s="64"/>
      <c r="M213" s="64"/>
      <c r="N213" s="64"/>
      <c r="O213" s="64"/>
    </row>
    <row r="214" spans="2:15" s="93" customFormat="1">
      <c r="B214" s="94"/>
      <c r="G214" s="64"/>
      <c r="H214" s="64"/>
      <c r="I214" s="64"/>
      <c r="J214" s="64"/>
      <c r="K214" s="64"/>
      <c r="L214" s="64"/>
      <c r="M214" s="64"/>
      <c r="N214" s="64"/>
      <c r="O214" s="64"/>
    </row>
    <row r="215" spans="2:15" s="93" customFormat="1">
      <c r="B215" s="94"/>
      <c r="G215" s="64"/>
      <c r="H215" s="64"/>
      <c r="I215" s="64"/>
      <c r="J215" s="64"/>
      <c r="K215" s="64"/>
      <c r="L215" s="64"/>
      <c r="M215" s="64"/>
      <c r="N215" s="64"/>
      <c r="O215" s="64"/>
    </row>
    <row r="216" spans="2:15" s="93" customFormat="1">
      <c r="B216" s="94"/>
      <c r="G216" s="64"/>
      <c r="H216" s="64"/>
      <c r="I216" s="64"/>
      <c r="J216" s="64"/>
      <c r="K216" s="64"/>
      <c r="L216" s="64"/>
      <c r="M216" s="64"/>
      <c r="N216" s="64"/>
      <c r="O216" s="64"/>
    </row>
    <row r="217" spans="2:15" s="93" customFormat="1">
      <c r="B217" s="94"/>
      <c r="G217" s="64"/>
      <c r="H217" s="64"/>
      <c r="I217" s="64"/>
      <c r="J217" s="64"/>
      <c r="K217" s="64"/>
      <c r="L217" s="64"/>
      <c r="M217" s="64"/>
      <c r="N217" s="64"/>
      <c r="O217" s="64"/>
    </row>
    <row r="218" spans="2:15" s="93" customFormat="1">
      <c r="B218" s="94"/>
      <c r="G218" s="64"/>
      <c r="H218" s="64"/>
      <c r="I218" s="64"/>
      <c r="J218" s="64"/>
      <c r="K218" s="64"/>
      <c r="L218" s="64"/>
      <c r="M218" s="64"/>
      <c r="N218" s="64"/>
      <c r="O218" s="64"/>
    </row>
    <row r="219" spans="2:15" s="93" customFormat="1">
      <c r="B219" s="94"/>
      <c r="G219" s="64"/>
      <c r="H219" s="64"/>
      <c r="I219" s="64"/>
      <c r="J219" s="64"/>
      <c r="K219" s="64"/>
      <c r="L219" s="64"/>
      <c r="M219" s="64"/>
      <c r="N219" s="64"/>
      <c r="O219" s="64"/>
    </row>
    <row r="220" spans="2:15" s="93" customFormat="1">
      <c r="B220" s="94"/>
      <c r="G220" s="64"/>
      <c r="H220" s="64"/>
      <c r="I220" s="64"/>
      <c r="J220" s="64"/>
      <c r="K220" s="64"/>
      <c r="L220" s="64"/>
      <c r="M220" s="64"/>
      <c r="N220" s="64"/>
      <c r="O220" s="64"/>
    </row>
    <row r="221" spans="2:15" s="93" customFormat="1">
      <c r="B221" s="94"/>
      <c r="G221" s="64"/>
      <c r="H221" s="64"/>
      <c r="I221" s="64"/>
      <c r="J221" s="64"/>
      <c r="K221" s="64"/>
      <c r="L221" s="64"/>
      <c r="M221" s="64"/>
      <c r="N221" s="64"/>
      <c r="O221" s="64"/>
    </row>
    <row r="222" spans="2:15" s="93" customFormat="1">
      <c r="B222" s="94"/>
      <c r="G222" s="64"/>
      <c r="H222" s="64"/>
      <c r="I222" s="64"/>
      <c r="J222" s="64"/>
      <c r="K222" s="64"/>
      <c r="L222" s="64"/>
      <c r="M222" s="64"/>
      <c r="N222" s="64"/>
      <c r="O222" s="64"/>
    </row>
    <row r="223" spans="2:15" s="93" customFormat="1">
      <c r="B223" s="94"/>
      <c r="G223" s="64"/>
      <c r="H223" s="64"/>
      <c r="I223" s="64"/>
      <c r="J223" s="64"/>
      <c r="K223" s="64"/>
      <c r="L223" s="64"/>
      <c r="M223" s="64"/>
      <c r="N223" s="64"/>
      <c r="O223" s="64"/>
    </row>
    <row r="224" spans="2:15" s="93" customFormat="1">
      <c r="B224" s="94"/>
      <c r="G224" s="64"/>
      <c r="H224" s="64"/>
      <c r="I224" s="64"/>
      <c r="J224" s="64"/>
      <c r="K224" s="64"/>
      <c r="L224" s="64"/>
      <c r="M224" s="64"/>
      <c r="N224" s="64"/>
      <c r="O224" s="64"/>
    </row>
    <row r="225" spans="2:15" s="93" customFormat="1">
      <c r="B225" s="94"/>
      <c r="G225" s="64"/>
      <c r="H225" s="64"/>
      <c r="I225" s="64"/>
      <c r="J225" s="64"/>
      <c r="K225" s="64"/>
      <c r="L225" s="64"/>
      <c r="M225" s="64"/>
      <c r="N225" s="64"/>
      <c r="O225" s="64"/>
    </row>
    <row r="226" spans="2:15" s="93" customFormat="1">
      <c r="B226" s="94"/>
      <c r="G226" s="64"/>
      <c r="H226" s="64"/>
      <c r="I226" s="64"/>
      <c r="J226" s="64"/>
      <c r="K226" s="64"/>
      <c r="L226" s="64"/>
      <c r="M226" s="64"/>
      <c r="N226" s="64"/>
      <c r="O226" s="64"/>
    </row>
    <row r="227" spans="2:15" s="93" customFormat="1">
      <c r="B227" s="94"/>
      <c r="G227" s="64"/>
      <c r="H227" s="64"/>
      <c r="I227" s="64"/>
      <c r="J227" s="64"/>
      <c r="K227" s="64"/>
      <c r="L227" s="64"/>
      <c r="M227" s="64"/>
      <c r="N227" s="64"/>
      <c r="O227" s="64"/>
    </row>
    <row r="228" spans="2:15" s="93" customFormat="1">
      <c r="B228" s="94"/>
      <c r="G228" s="64"/>
      <c r="H228" s="64"/>
      <c r="I228" s="64"/>
      <c r="J228" s="64"/>
      <c r="K228" s="64"/>
      <c r="L228" s="64"/>
      <c r="M228" s="64"/>
      <c r="N228" s="64"/>
      <c r="O228" s="64"/>
    </row>
    <row r="229" spans="2:15" s="93" customFormat="1">
      <c r="B229" s="94"/>
      <c r="G229" s="64"/>
      <c r="H229" s="64"/>
      <c r="I229" s="64"/>
      <c r="J229" s="64"/>
      <c r="K229" s="64"/>
      <c r="L229" s="64"/>
      <c r="M229" s="64"/>
      <c r="N229" s="64"/>
      <c r="O229" s="64"/>
    </row>
    <row r="230" spans="2:15" s="93" customFormat="1">
      <c r="B230" s="94"/>
      <c r="G230" s="64"/>
      <c r="H230" s="64"/>
      <c r="I230" s="64"/>
      <c r="J230" s="64"/>
      <c r="K230" s="64"/>
      <c r="L230" s="64"/>
      <c r="M230" s="64"/>
      <c r="N230" s="64"/>
      <c r="O230" s="64"/>
    </row>
    <row r="231" spans="2:15" s="93" customFormat="1">
      <c r="B231" s="94"/>
      <c r="G231" s="64"/>
      <c r="H231" s="64"/>
      <c r="I231" s="64"/>
      <c r="J231" s="64"/>
      <c r="K231" s="64"/>
      <c r="L231" s="64"/>
      <c r="M231" s="64"/>
      <c r="N231" s="64"/>
      <c r="O231" s="64"/>
    </row>
    <row r="232" spans="2:15" s="93" customFormat="1">
      <c r="B232" s="94"/>
      <c r="G232" s="64"/>
      <c r="H232" s="64"/>
      <c r="I232" s="64"/>
      <c r="J232" s="64"/>
      <c r="K232" s="64"/>
      <c r="L232" s="64"/>
      <c r="M232" s="64"/>
      <c r="N232" s="64"/>
      <c r="O232" s="64"/>
    </row>
    <row r="233" spans="2:15" s="93" customFormat="1">
      <c r="B233" s="94"/>
      <c r="G233" s="64"/>
      <c r="H233" s="64"/>
      <c r="I233" s="64"/>
      <c r="J233" s="64"/>
      <c r="K233" s="64"/>
      <c r="L233" s="64"/>
      <c r="M233" s="64"/>
      <c r="N233" s="64"/>
      <c r="O233" s="64"/>
    </row>
    <row r="234" spans="2:15" s="93" customFormat="1">
      <c r="B234" s="94"/>
      <c r="G234" s="64"/>
      <c r="H234" s="64"/>
      <c r="I234" s="64"/>
      <c r="J234" s="64"/>
      <c r="K234" s="64"/>
      <c r="L234" s="64"/>
      <c r="M234" s="64"/>
      <c r="N234" s="64"/>
      <c r="O234" s="64"/>
    </row>
    <row r="235" spans="2:15" s="93" customFormat="1">
      <c r="B235" s="94"/>
      <c r="G235" s="64"/>
      <c r="H235" s="64"/>
      <c r="I235" s="64"/>
      <c r="J235" s="64"/>
      <c r="K235" s="64"/>
      <c r="L235" s="64"/>
      <c r="M235" s="64"/>
      <c r="N235" s="64"/>
      <c r="O235" s="64"/>
    </row>
    <row r="236" spans="2:15" s="93" customFormat="1">
      <c r="B236" s="94"/>
      <c r="G236" s="64"/>
      <c r="H236" s="64"/>
      <c r="I236" s="64"/>
      <c r="J236" s="64"/>
      <c r="K236" s="64"/>
      <c r="L236" s="64"/>
      <c r="M236" s="64"/>
      <c r="N236" s="64"/>
      <c r="O236" s="64"/>
    </row>
    <row r="237" spans="2:15" s="93" customFormat="1">
      <c r="B237" s="94"/>
      <c r="G237" s="64"/>
      <c r="H237" s="64"/>
      <c r="I237" s="64"/>
      <c r="J237" s="64"/>
      <c r="K237" s="64"/>
      <c r="L237" s="64"/>
      <c r="M237" s="64"/>
      <c r="N237" s="64"/>
      <c r="O237" s="64"/>
    </row>
    <row r="238" spans="2:15" s="93" customFormat="1">
      <c r="B238" s="94"/>
      <c r="G238" s="64"/>
      <c r="H238" s="64"/>
      <c r="I238" s="64"/>
      <c r="J238" s="64"/>
      <c r="K238" s="64"/>
      <c r="L238" s="64"/>
      <c r="M238" s="64"/>
      <c r="N238" s="64"/>
      <c r="O238" s="64"/>
    </row>
    <row r="239" spans="2:15" s="93" customFormat="1">
      <c r="B239" s="94"/>
      <c r="G239" s="64"/>
      <c r="H239" s="64"/>
      <c r="I239" s="64"/>
      <c r="J239" s="64"/>
      <c r="K239" s="64"/>
      <c r="L239" s="64"/>
      <c r="M239" s="64"/>
      <c r="N239" s="64"/>
      <c r="O239" s="64"/>
    </row>
    <row r="240" spans="2:15" s="93" customFormat="1">
      <c r="B240" s="94"/>
      <c r="G240" s="64"/>
      <c r="H240" s="64"/>
      <c r="I240" s="64"/>
      <c r="J240" s="64"/>
      <c r="K240" s="64"/>
      <c r="L240" s="64"/>
      <c r="M240" s="64"/>
      <c r="N240" s="64"/>
      <c r="O240" s="64"/>
    </row>
    <row r="241" spans="2:15" s="93" customFormat="1">
      <c r="B241" s="94"/>
      <c r="G241" s="64"/>
      <c r="H241" s="64"/>
      <c r="I241" s="64"/>
      <c r="J241" s="64"/>
      <c r="K241" s="64"/>
      <c r="L241" s="64"/>
      <c r="M241" s="64"/>
      <c r="N241" s="64"/>
      <c r="O241" s="64"/>
    </row>
    <row r="242" spans="2:15" s="93" customFormat="1">
      <c r="B242" s="94"/>
      <c r="G242" s="64"/>
      <c r="H242" s="64"/>
      <c r="I242" s="64"/>
      <c r="J242" s="64"/>
      <c r="K242" s="64"/>
      <c r="L242" s="64"/>
      <c r="M242" s="64"/>
      <c r="N242" s="64"/>
      <c r="O242" s="64"/>
    </row>
    <row r="243" spans="2:15" s="93" customFormat="1">
      <c r="B243" s="94"/>
      <c r="G243" s="64"/>
      <c r="H243" s="64"/>
      <c r="I243" s="64"/>
      <c r="J243" s="64"/>
      <c r="K243" s="64"/>
      <c r="L243" s="64"/>
      <c r="M243" s="64"/>
      <c r="N243" s="64"/>
      <c r="O243" s="64"/>
    </row>
    <row r="244" spans="2:15" s="93" customFormat="1">
      <c r="B244" s="94"/>
      <c r="G244" s="64"/>
      <c r="H244" s="64"/>
      <c r="I244" s="64"/>
      <c r="J244" s="64"/>
      <c r="K244" s="64"/>
      <c r="L244" s="64"/>
      <c r="M244" s="64"/>
      <c r="N244" s="64"/>
      <c r="O244" s="64"/>
    </row>
    <row r="245" spans="2:15" s="93" customFormat="1">
      <c r="B245" s="94"/>
      <c r="G245" s="64"/>
      <c r="H245" s="64"/>
      <c r="I245" s="64"/>
      <c r="J245" s="64"/>
      <c r="K245" s="64"/>
      <c r="L245" s="64"/>
      <c r="M245" s="64"/>
      <c r="N245" s="64"/>
      <c r="O245" s="64"/>
    </row>
    <row r="246" spans="2:15" s="93" customFormat="1">
      <c r="B246" s="94"/>
      <c r="G246" s="64"/>
      <c r="H246" s="64"/>
      <c r="I246" s="64"/>
      <c r="J246" s="64"/>
      <c r="K246" s="64"/>
      <c r="L246" s="64"/>
      <c r="M246" s="64"/>
      <c r="N246" s="64"/>
      <c r="O246" s="64"/>
    </row>
    <row r="247" spans="2:15" s="93" customFormat="1">
      <c r="B247" s="94"/>
      <c r="G247" s="64"/>
      <c r="H247" s="64"/>
      <c r="I247" s="64"/>
      <c r="J247" s="64"/>
      <c r="K247" s="64"/>
      <c r="L247" s="64"/>
      <c r="M247" s="64"/>
      <c r="N247" s="64"/>
      <c r="O247" s="64"/>
    </row>
    <row r="248" spans="2:15" s="93" customFormat="1">
      <c r="B248" s="94"/>
      <c r="G248" s="64"/>
      <c r="H248" s="64"/>
      <c r="I248" s="64"/>
      <c r="J248" s="64"/>
      <c r="K248" s="64"/>
      <c r="L248" s="64"/>
      <c r="M248" s="64"/>
      <c r="N248" s="64"/>
      <c r="O248" s="64"/>
    </row>
    <row r="249" spans="2:15" s="93" customFormat="1">
      <c r="B249" s="94"/>
      <c r="G249" s="64"/>
      <c r="H249" s="64"/>
      <c r="I249" s="64"/>
      <c r="J249" s="64"/>
      <c r="K249" s="64"/>
      <c r="L249" s="64"/>
      <c r="M249" s="64"/>
      <c r="N249" s="64"/>
      <c r="O249" s="64"/>
    </row>
    <row r="250" spans="2:15" s="93" customFormat="1">
      <c r="B250" s="94"/>
      <c r="G250" s="64"/>
      <c r="H250" s="64"/>
      <c r="I250" s="64"/>
      <c r="J250" s="64"/>
      <c r="K250" s="64"/>
      <c r="L250" s="64"/>
      <c r="M250" s="64"/>
      <c r="N250" s="64"/>
      <c r="O250" s="64"/>
    </row>
    <row r="251" spans="2:15" s="93" customFormat="1">
      <c r="B251" s="94"/>
      <c r="G251" s="64"/>
      <c r="H251" s="64"/>
      <c r="I251" s="64"/>
      <c r="J251" s="64"/>
      <c r="K251" s="64"/>
      <c r="L251" s="64"/>
      <c r="M251" s="64"/>
      <c r="N251" s="64"/>
      <c r="O251" s="64"/>
    </row>
    <row r="252" spans="2:15" s="93" customFormat="1">
      <c r="B252" s="94"/>
      <c r="G252" s="64"/>
      <c r="H252" s="64"/>
      <c r="I252" s="64"/>
      <c r="J252" s="64"/>
      <c r="K252" s="64"/>
      <c r="L252" s="64"/>
      <c r="M252" s="64"/>
      <c r="N252" s="64"/>
      <c r="O252" s="64"/>
    </row>
    <row r="253" spans="2:15" s="93" customFormat="1">
      <c r="B253" s="94"/>
      <c r="G253" s="64"/>
      <c r="H253" s="64"/>
      <c r="I253" s="64"/>
      <c r="J253" s="64"/>
      <c r="K253" s="64"/>
      <c r="L253" s="64"/>
      <c r="M253" s="64"/>
      <c r="N253" s="64"/>
      <c r="O253" s="64"/>
    </row>
    <row r="254" spans="2:15" s="93" customFormat="1">
      <c r="B254" s="94"/>
      <c r="G254" s="64"/>
      <c r="H254" s="64"/>
      <c r="I254" s="64"/>
      <c r="J254" s="64"/>
      <c r="K254" s="64"/>
      <c r="L254" s="64"/>
      <c r="M254" s="64"/>
      <c r="N254" s="64"/>
      <c r="O254" s="64"/>
    </row>
    <row r="255" spans="2:15" s="93" customFormat="1">
      <c r="B255" s="94"/>
      <c r="G255" s="64"/>
      <c r="H255" s="64"/>
      <c r="I255" s="64"/>
      <c r="J255" s="64"/>
      <c r="K255" s="64"/>
      <c r="L255" s="64"/>
      <c r="M255" s="64"/>
      <c r="N255" s="64"/>
      <c r="O255" s="64"/>
    </row>
    <row r="256" spans="2:15" s="93" customFormat="1">
      <c r="B256" s="94"/>
      <c r="G256" s="64"/>
      <c r="H256" s="64"/>
      <c r="I256" s="64"/>
      <c r="J256" s="64"/>
      <c r="K256" s="64"/>
      <c r="L256" s="64"/>
      <c r="M256" s="64"/>
      <c r="N256" s="64"/>
      <c r="O256" s="64"/>
    </row>
    <row r="257" spans="2:15" s="93" customFormat="1">
      <c r="B257" s="94"/>
      <c r="G257" s="64"/>
      <c r="H257" s="64"/>
      <c r="I257" s="64"/>
      <c r="J257" s="64"/>
      <c r="K257" s="64"/>
      <c r="L257" s="64"/>
      <c r="M257" s="64"/>
      <c r="N257" s="64"/>
      <c r="O257" s="64"/>
    </row>
    <row r="258" spans="2:15" s="93" customFormat="1">
      <c r="B258" s="94"/>
      <c r="G258" s="64"/>
      <c r="H258" s="64"/>
      <c r="I258" s="64"/>
      <c r="J258" s="64"/>
      <c r="K258" s="64"/>
      <c r="L258" s="64"/>
      <c r="M258" s="64"/>
      <c r="N258" s="64"/>
      <c r="O258" s="64"/>
    </row>
    <row r="259" spans="2:15" s="93" customFormat="1">
      <c r="B259" s="94"/>
      <c r="G259" s="64"/>
      <c r="H259" s="64"/>
      <c r="I259" s="64"/>
      <c r="J259" s="64"/>
      <c r="K259" s="64"/>
      <c r="L259" s="64"/>
      <c r="M259" s="64"/>
      <c r="N259" s="64"/>
      <c r="O259" s="64"/>
    </row>
    <row r="260" spans="2:15" s="93" customFormat="1">
      <c r="B260" s="94"/>
      <c r="G260" s="64"/>
      <c r="H260" s="64"/>
      <c r="I260" s="64"/>
      <c r="J260" s="64"/>
      <c r="K260" s="64"/>
      <c r="L260" s="64"/>
      <c r="M260" s="64"/>
      <c r="N260" s="64"/>
      <c r="O260" s="64"/>
    </row>
    <row r="261" spans="2:15" s="93" customFormat="1">
      <c r="B261" s="94"/>
      <c r="G261" s="64"/>
      <c r="H261" s="64"/>
      <c r="I261" s="64"/>
      <c r="J261" s="64"/>
      <c r="K261" s="64"/>
      <c r="L261" s="64"/>
      <c r="M261" s="64"/>
      <c r="N261" s="64"/>
      <c r="O261" s="64"/>
    </row>
    <row r="262" spans="2:15" s="93" customFormat="1">
      <c r="B262" s="94"/>
      <c r="G262" s="64"/>
      <c r="H262" s="64"/>
      <c r="I262" s="64"/>
      <c r="J262" s="64"/>
      <c r="K262" s="64"/>
      <c r="L262" s="64"/>
      <c r="M262" s="64"/>
      <c r="N262" s="64"/>
      <c r="O262" s="64"/>
    </row>
    <row r="263" spans="2:15" s="93" customFormat="1">
      <c r="B263" s="94"/>
      <c r="G263" s="64"/>
      <c r="H263" s="64"/>
      <c r="I263" s="64"/>
      <c r="J263" s="64"/>
      <c r="K263" s="64"/>
      <c r="L263" s="64"/>
      <c r="M263" s="64"/>
      <c r="N263" s="64"/>
      <c r="O263" s="64"/>
    </row>
    <row r="264" spans="2:15" s="93" customFormat="1">
      <c r="B264" s="94"/>
      <c r="G264" s="64"/>
      <c r="H264" s="64"/>
      <c r="I264" s="64"/>
      <c r="J264" s="64"/>
      <c r="K264" s="64"/>
      <c r="L264" s="64"/>
      <c r="M264" s="64"/>
      <c r="N264" s="64"/>
      <c r="O264" s="64"/>
    </row>
    <row r="265" spans="2:15" s="93" customFormat="1">
      <c r="B265" s="94"/>
      <c r="G265" s="64"/>
      <c r="H265" s="64"/>
      <c r="I265" s="64"/>
      <c r="J265" s="64"/>
      <c r="K265" s="64"/>
      <c r="L265" s="64"/>
      <c r="M265" s="64"/>
      <c r="N265" s="64"/>
      <c r="O265" s="64"/>
    </row>
    <row r="266" spans="2:15" s="93" customFormat="1">
      <c r="B266" s="94"/>
      <c r="G266" s="64"/>
      <c r="H266" s="64"/>
      <c r="I266" s="64"/>
      <c r="J266" s="64"/>
      <c r="K266" s="64"/>
      <c r="L266" s="64"/>
      <c r="M266" s="64"/>
      <c r="N266" s="64"/>
      <c r="O266" s="64"/>
    </row>
    <row r="267" spans="2:15" s="93" customFormat="1">
      <c r="B267" s="94"/>
      <c r="G267" s="64"/>
      <c r="H267" s="64"/>
      <c r="I267" s="64"/>
      <c r="J267" s="64"/>
      <c r="K267" s="64"/>
      <c r="L267" s="64"/>
      <c r="M267" s="64"/>
      <c r="N267" s="64"/>
      <c r="O267" s="64"/>
    </row>
    <row r="268" spans="2:15" s="93" customFormat="1">
      <c r="B268" s="94"/>
      <c r="G268" s="64"/>
      <c r="H268" s="64"/>
      <c r="I268" s="64"/>
      <c r="J268" s="64"/>
      <c r="K268" s="64"/>
      <c r="L268" s="64"/>
      <c r="M268" s="64"/>
      <c r="N268" s="64"/>
      <c r="O268" s="64"/>
    </row>
    <row r="269" spans="2:15" s="93" customFormat="1">
      <c r="B269" s="94"/>
      <c r="G269" s="64"/>
      <c r="H269" s="64"/>
      <c r="I269" s="64"/>
      <c r="J269" s="64"/>
      <c r="K269" s="64"/>
      <c r="L269" s="64"/>
      <c r="M269" s="64"/>
      <c r="N269" s="64"/>
      <c r="O269" s="64"/>
    </row>
    <row r="270" spans="2:15" s="93" customFormat="1">
      <c r="B270" s="94"/>
      <c r="G270" s="64"/>
      <c r="H270" s="64"/>
      <c r="I270" s="64"/>
      <c r="J270" s="64"/>
      <c r="K270" s="64"/>
      <c r="L270" s="64"/>
      <c r="M270" s="64"/>
      <c r="N270" s="64"/>
      <c r="O270" s="64"/>
    </row>
    <row r="271" spans="2:15" s="93" customFormat="1">
      <c r="B271" s="94"/>
      <c r="G271" s="64"/>
      <c r="H271" s="64"/>
      <c r="I271" s="64"/>
      <c r="J271" s="64"/>
      <c r="K271" s="64"/>
      <c r="L271" s="64"/>
      <c r="M271" s="64"/>
      <c r="N271" s="64"/>
      <c r="O271" s="64"/>
    </row>
    <row r="272" spans="2:15" s="93" customFormat="1">
      <c r="B272" s="94"/>
      <c r="G272" s="64"/>
      <c r="H272" s="64"/>
      <c r="I272" s="64"/>
      <c r="J272" s="64"/>
      <c r="K272" s="64"/>
      <c r="L272" s="64"/>
      <c r="M272" s="64"/>
      <c r="N272" s="64"/>
      <c r="O272" s="64"/>
    </row>
    <row r="273" spans="2:15" s="93" customFormat="1">
      <c r="B273" s="94"/>
      <c r="G273" s="64"/>
      <c r="H273" s="64"/>
      <c r="I273" s="64"/>
      <c r="J273" s="64"/>
      <c r="K273" s="64"/>
      <c r="L273" s="64"/>
      <c r="M273" s="64"/>
      <c r="N273" s="64"/>
      <c r="O273" s="64"/>
    </row>
    <row r="274" spans="2:15" s="93" customFormat="1">
      <c r="B274" s="94"/>
      <c r="G274" s="64"/>
      <c r="H274" s="64"/>
      <c r="I274" s="64"/>
      <c r="J274" s="64"/>
      <c r="K274" s="64"/>
      <c r="L274" s="64"/>
      <c r="M274" s="64"/>
      <c r="N274" s="64"/>
      <c r="O274" s="64"/>
    </row>
    <row r="275" spans="2:15" s="93" customFormat="1">
      <c r="B275" s="94"/>
      <c r="G275" s="64"/>
      <c r="H275" s="64"/>
      <c r="I275" s="64"/>
      <c r="J275" s="64"/>
      <c r="K275" s="64"/>
      <c r="L275" s="64"/>
      <c r="M275" s="64"/>
      <c r="N275" s="64"/>
      <c r="O275" s="64"/>
    </row>
    <row r="276" spans="2:15" s="93" customFormat="1">
      <c r="B276" s="94"/>
      <c r="G276" s="64"/>
      <c r="H276" s="64"/>
      <c r="I276" s="64"/>
      <c r="J276" s="64"/>
      <c r="K276" s="64"/>
      <c r="L276" s="64"/>
      <c r="M276" s="64"/>
      <c r="N276" s="64"/>
      <c r="O276" s="64"/>
    </row>
    <row r="277" spans="2:15" s="93" customFormat="1">
      <c r="B277" s="94"/>
      <c r="G277" s="64"/>
      <c r="H277" s="64"/>
      <c r="I277" s="64"/>
      <c r="J277" s="64"/>
      <c r="K277" s="64"/>
      <c r="L277" s="64"/>
      <c r="M277" s="64"/>
      <c r="N277" s="64"/>
      <c r="O277" s="64"/>
    </row>
    <row r="278" spans="2:15" s="93" customFormat="1">
      <c r="B278" s="94"/>
      <c r="G278" s="64"/>
      <c r="H278" s="64"/>
      <c r="I278" s="64"/>
      <c r="J278" s="64"/>
      <c r="K278" s="64"/>
      <c r="L278" s="64"/>
      <c r="M278" s="64"/>
      <c r="N278" s="64"/>
      <c r="O278" s="64"/>
    </row>
    <row r="279" spans="2:15" s="93" customFormat="1">
      <c r="B279" s="94"/>
      <c r="G279" s="64"/>
      <c r="H279" s="64"/>
      <c r="I279" s="64"/>
      <c r="J279" s="64"/>
      <c r="K279" s="64"/>
      <c r="L279" s="64"/>
      <c r="M279" s="64"/>
      <c r="N279" s="64"/>
      <c r="O279" s="64"/>
    </row>
    <row r="280" spans="2:15" s="93" customFormat="1">
      <c r="B280" s="94"/>
      <c r="G280" s="64"/>
      <c r="H280" s="64"/>
      <c r="I280" s="64"/>
      <c r="J280" s="64"/>
      <c r="K280" s="64"/>
      <c r="L280" s="64"/>
      <c r="M280" s="64"/>
      <c r="N280" s="64"/>
      <c r="O280" s="64"/>
    </row>
    <row r="281" spans="2:15" s="93" customFormat="1">
      <c r="B281" s="94"/>
      <c r="G281" s="64"/>
      <c r="H281" s="64"/>
      <c r="I281" s="64"/>
      <c r="J281" s="64"/>
      <c r="K281" s="64"/>
      <c r="L281" s="64"/>
      <c r="M281" s="64"/>
      <c r="N281" s="64"/>
      <c r="O281" s="64"/>
    </row>
    <row r="282" spans="2:15" s="93" customFormat="1">
      <c r="B282" s="94"/>
      <c r="G282" s="64"/>
      <c r="H282" s="64"/>
      <c r="I282" s="64"/>
      <c r="J282" s="64"/>
      <c r="K282" s="64"/>
      <c r="L282" s="64"/>
      <c r="M282" s="64"/>
      <c r="N282" s="64"/>
      <c r="O282" s="64"/>
    </row>
    <row r="283" spans="2:15" s="93" customFormat="1">
      <c r="B283" s="94"/>
      <c r="G283" s="64"/>
      <c r="H283" s="64"/>
      <c r="I283" s="64"/>
      <c r="J283" s="64"/>
      <c r="K283" s="64"/>
      <c r="L283" s="64"/>
      <c r="M283" s="64"/>
      <c r="N283" s="64"/>
      <c r="O283" s="64"/>
    </row>
    <row r="284" spans="2:15" s="93" customFormat="1">
      <c r="B284" s="94"/>
      <c r="G284" s="64"/>
      <c r="H284" s="64"/>
      <c r="I284" s="64"/>
      <c r="J284" s="64"/>
      <c r="K284" s="64"/>
      <c r="L284" s="64"/>
      <c r="M284" s="64"/>
      <c r="N284" s="64"/>
      <c r="O284" s="64"/>
    </row>
    <row r="285" spans="2:15" s="93" customFormat="1">
      <c r="B285" s="94"/>
      <c r="G285" s="64"/>
      <c r="H285" s="64"/>
      <c r="I285" s="64"/>
      <c r="J285" s="64"/>
      <c r="K285" s="64"/>
      <c r="L285" s="64"/>
      <c r="M285" s="64"/>
      <c r="N285" s="64"/>
      <c r="O285" s="64"/>
    </row>
    <row r="286" spans="2:15" s="93" customFormat="1">
      <c r="B286" s="94"/>
      <c r="G286" s="64"/>
      <c r="H286" s="64"/>
      <c r="I286" s="64"/>
      <c r="J286" s="64"/>
      <c r="K286" s="64"/>
      <c r="L286" s="64"/>
      <c r="M286" s="64"/>
      <c r="N286" s="64"/>
      <c r="O286" s="64"/>
    </row>
    <row r="287" spans="2:15" s="93" customFormat="1">
      <c r="B287" s="94"/>
      <c r="G287" s="64"/>
      <c r="H287" s="64"/>
      <c r="I287" s="64"/>
      <c r="J287" s="64"/>
      <c r="K287" s="64"/>
      <c r="L287" s="64"/>
      <c r="M287" s="64"/>
      <c r="N287" s="64"/>
      <c r="O287" s="64"/>
    </row>
    <row r="288" spans="2:15" s="93" customFormat="1">
      <c r="B288" s="94"/>
      <c r="G288" s="64"/>
      <c r="H288" s="64"/>
      <c r="I288" s="64"/>
      <c r="J288" s="64"/>
      <c r="K288" s="64"/>
      <c r="L288" s="64"/>
      <c r="M288" s="64"/>
      <c r="N288" s="64"/>
      <c r="O288" s="64"/>
    </row>
    <row r="289" spans="2:15" s="93" customFormat="1">
      <c r="B289" s="94"/>
      <c r="G289" s="64"/>
      <c r="H289" s="64"/>
      <c r="I289" s="64"/>
      <c r="J289" s="64"/>
      <c r="K289" s="64"/>
      <c r="L289" s="64"/>
      <c r="M289" s="64"/>
      <c r="N289" s="64"/>
      <c r="O289" s="64"/>
    </row>
  </sheetData>
  <mergeCells count="88">
    <mergeCell ref="B1:K1"/>
    <mergeCell ref="C9:G9"/>
    <mergeCell ref="D10:G10"/>
    <mergeCell ref="F11:G11"/>
    <mergeCell ref="F12:G12"/>
    <mergeCell ref="F19:G19"/>
    <mergeCell ref="F24:G24"/>
    <mergeCell ref="D25:G25"/>
    <mergeCell ref="D26:G26"/>
    <mergeCell ref="D27:G27"/>
    <mergeCell ref="F28:G28"/>
    <mergeCell ref="F29:G29"/>
    <mergeCell ref="F30:G30"/>
    <mergeCell ref="D31:G31"/>
    <mergeCell ref="D32:G32"/>
    <mergeCell ref="D33:G33"/>
    <mergeCell ref="D34:G34"/>
    <mergeCell ref="D35:G35"/>
    <mergeCell ref="C38:G38"/>
    <mergeCell ref="D39:G39"/>
    <mergeCell ref="F40:G40"/>
    <mergeCell ref="F41:G41"/>
    <mergeCell ref="D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D60:G60"/>
    <mergeCell ref="F61:G61"/>
    <mergeCell ref="F62:G62"/>
    <mergeCell ref="F63:G63"/>
    <mergeCell ref="D64:G64"/>
    <mergeCell ref="D65:G65"/>
    <mergeCell ref="D66:G66"/>
    <mergeCell ref="F67:G67"/>
    <mergeCell ref="F68:G68"/>
    <mergeCell ref="F69:G69"/>
    <mergeCell ref="F70:G70"/>
    <mergeCell ref="F71:G71"/>
    <mergeCell ref="D72:G72"/>
    <mergeCell ref="D73:G73"/>
    <mergeCell ref="F74:G74"/>
    <mergeCell ref="F75:G75"/>
    <mergeCell ref="F76:G76"/>
    <mergeCell ref="D77:G77"/>
    <mergeCell ref="D78:G78"/>
    <mergeCell ref="F79:G79"/>
    <mergeCell ref="F80:G80"/>
    <mergeCell ref="D81:G81"/>
    <mergeCell ref="F82:G82"/>
    <mergeCell ref="F83:G83"/>
    <mergeCell ref="F84:G84"/>
    <mergeCell ref="F85:G85"/>
    <mergeCell ref="B88:G88"/>
    <mergeCell ref="C90:G90"/>
    <mergeCell ref="D91:G91"/>
    <mergeCell ref="D92:G92"/>
    <mergeCell ref="C95:G95"/>
    <mergeCell ref="D96:G96"/>
    <mergeCell ref="D97:G97"/>
    <mergeCell ref="C100:G100"/>
    <mergeCell ref="D101:G101"/>
    <mergeCell ref="F102:G102"/>
    <mergeCell ref="F103:G103"/>
    <mergeCell ref="D104:G104"/>
    <mergeCell ref="F115:G115"/>
    <mergeCell ref="F116:G116"/>
    <mergeCell ref="D117:G117"/>
    <mergeCell ref="D118:G118"/>
    <mergeCell ref="F105:G105"/>
    <mergeCell ref="F106:G106"/>
    <mergeCell ref="C111:G111"/>
    <mergeCell ref="D112:G112"/>
    <mergeCell ref="F113:G113"/>
    <mergeCell ref="F114:G114"/>
  </mergeCells>
  <phoneticPr fontId="3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5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N289"/>
  <sheetViews>
    <sheetView showGridLines="0" view="pageBreakPreview" zoomScale="90" zoomScaleNormal="100" zoomScaleSheetLayoutView="90" workbookViewId="0">
      <pane xSplit="7" ySplit="8" topLeftCell="H9" activePane="bottomRight" state="frozen"/>
      <selection activeCell="AE506" sqref="AE506:AI506"/>
      <selection pane="topRight" activeCell="AE506" sqref="AE506:AI506"/>
      <selection pane="bottomLeft" activeCell="AE506" sqref="AE506:AI506"/>
      <selection pane="bottomRight" activeCell="M8" sqref="M8"/>
    </sheetView>
  </sheetViews>
  <sheetFormatPr defaultColWidth="10.42578125" defaultRowHeight="15" outlineLevelRow="1"/>
  <cols>
    <col min="1" max="1" width="10.42578125" style="64"/>
    <col min="2" max="2" width="4" style="93" customWidth="1"/>
    <col min="3" max="3" width="4.5703125" style="93" customWidth="1"/>
    <col min="4" max="4" width="2.5703125" style="93" customWidth="1"/>
    <col min="5" max="6" width="4" style="93" customWidth="1"/>
    <col min="7" max="7" width="59.5703125" style="64" customWidth="1"/>
    <col min="8" max="9" width="23.140625" style="64" customWidth="1"/>
    <col min="10" max="10" width="19.7109375" style="64" customWidth="1"/>
    <col min="11" max="11" width="15.140625" style="64" customWidth="1"/>
    <col min="12" max="12" width="10.42578125" style="64" customWidth="1"/>
    <col min="13" max="13" width="22.42578125" style="64" customWidth="1"/>
    <col min="14" max="16384" width="10.42578125" style="64"/>
  </cols>
  <sheetData>
    <row r="1" spans="1:14" s="52" customFormat="1" ht="36.75" customHeight="1">
      <c r="B1" s="627" t="s">
        <v>1438</v>
      </c>
      <c r="C1" s="627" t="s">
        <v>1438</v>
      </c>
      <c r="D1" s="627"/>
      <c r="E1" s="627"/>
      <c r="F1" s="627"/>
      <c r="G1" s="627"/>
      <c r="H1" s="627"/>
      <c r="I1" s="627"/>
      <c r="J1" s="627"/>
      <c r="K1" s="627"/>
      <c r="L1" s="53"/>
      <c r="M1" s="53"/>
      <c r="N1" s="53"/>
    </row>
    <row r="2" spans="1:14" s="52" customFormat="1">
      <c r="B2" s="54"/>
      <c r="C2" s="54"/>
      <c r="D2" s="54"/>
      <c r="E2" s="54"/>
      <c r="F2" s="54"/>
      <c r="G2" s="54"/>
    </row>
    <row r="3" spans="1:14" s="52" customFormat="1" ht="15.75" thickBot="1">
      <c r="B3" s="54"/>
      <c r="C3" s="54"/>
      <c r="D3" s="54"/>
      <c r="E3" s="54"/>
      <c r="F3" s="54"/>
      <c r="G3" s="54"/>
    </row>
    <row r="4" spans="1:14" s="55" customFormat="1" ht="27.6" customHeight="1">
      <c r="B4" s="56" t="s">
        <v>3092</v>
      </c>
      <c r="C4" s="57"/>
      <c r="D4" s="57"/>
      <c r="E4" s="57"/>
      <c r="F4" s="57"/>
      <c r="G4" s="57"/>
      <c r="H4" s="57"/>
      <c r="I4" s="57"/>
      <c r="J4" s="58" t="s">
        <v>3146</v>
      </c>
      <c r="K4" s="59"/>
      <c r="M4" s="57"/>
    </row>
    <row r="5" spans="1:14" s="55" customFormat="1" ht="27.6" customHeight="1" thickBot="1">
      <c r="B5" s="60"/>
      <c r="C5" s="61"/>
      <c r="D5" s="61"/>
      <c r="E5" s="61"/>
      <c r="F5" s="61"/>
      <c r="G5" s="61"/>
      <c r="H5" s="61"/>
      <c r="I5" s="61"/>
      <c r="J5" s="62"/>
      <c r="K5" s="63"/>
      <c r="M5" s="61"/>
    </row>
    <row r="6" spans="1:14" ht="15" customHeight="1" thickBot="1">
      <c r="B6" s="65"/>
      <c r="C6" s="65"/>
      <c r="D6" s="65"/>
      <c r="E6" s="65"/>
      <c r="F6" s="65"/>
      <c r="G6" s="65"/>
      <c r="H6" s="66"/>
    </row>
    <row r="7" spans="1:14" ht="39.75" customHeight="1">
      <c r="B7" s="67" t="s">
        <v>3685</v>
      </c>
      <c r="C7" s="68"/>
      <c r="D7" s="68"/>
      <c r="E7" s="68"/>
      <c r="F7" s="68"/>
      <c r="G7" s="69"/>
      <c r="H7" s="70" t="s">
        <v>2423</v>
      </c>
      <c r="I7" s="70" t="s">
        <v>2423</v>
      </c>
      <c r="J7" s="71" t="str">
        <f>CONCATENATE("ABWEICHUNG ",  H8, " / ", I8)</f>
        <v>ABWEICHUNG 2020 / 2019</v>
      </c>
      <c r="K7" s="72"/>
      <c r="M7" s="70" t="s">
        <v>2931</v>
      </c>
    </row>
    <row r="8" spans="1:14" ht="22.5" customHeight="1">
      <c r="B8" s="73"/>
      <c r="C8" s="74"/>
      <c r="D8" s="74"/>
      <c r="E8" s="74"/>
      <c r="F8" s="74"/>
      <c r="G8" s="75"/>
      <c r="H8" s="76">
        <f>IF('CE sintesi'!H8=0,"",'CE sintesi'!H8)</f>
        <v>2020</v>
      </c>
      <c r="I8" s="76">
        <f>IF('CE sintesi'!I8=0,"",'CE sintesi'!I8)</f>
        <v>2019</v>
      </c>
      <c r="J8" s="77" t="s">
        <v>2931</v>
      </c>
      <c r="K8" s="78" t="s">
        <v>3174</v>
      </c>
      <c r="M8" s="76">
        <f>IF('CE sintesi'!M8=0,"",'CE sintesi'!M8)</f>
        <v>2018</v>
      </c>
    </row>
    <row r="9" spans="1:14" s="79" customFormat="1">
      <c r="A9" s="209"/>
      <c r="B9" s="210" t="s">
        <v>3182</v>
      </c>
      <c r="C9" s="630" t="s">
        <v>1440</v>
      </c>
      <c r="D9" s="630"/>
      <c r="E9" s="630"/>
      <c r="F9" s="630"/>
      <c r="G9" s="631"/>
      <c r="H9" s="211" t="str">
        <f>IF('CE sintesi'!H9=0,"",'CE sintesi'!H9)</f>
        <v/>
      </c>
      <c r="I9" s="211" t="str">
        <f>IF('CE sintesi'!I9=0,"",'CE sintesi'!I9)</f>
        <v/>
      </c>
      <c r="J9" s="212" t="str">
        <f>IF('CE sintesi'!J9=0,"",'CE sintesi'!J9)</f>
        <v/>
      </c>
      <c r="K9" s="213" t="str">
        <f>IF('CE sintesi'!K9=0,"",'CE sintesi'!K9)</f>
        <v/>
      </c>
      <c r="L9" s="214"/>
      <c r="M9" s="211" t="str">
        <f>IF('CE sintesi'!N9=0,"",'CE sintesi'!M)</f>
        <v/>
      </c>
    </row>
    <row r="10" spans="1:14" s="79" customFormat="1">
      <c r="A10" s="209"/>
      <c r="B10" s="215"/>
      <c r="C10" s="216" t="s">
        <v>2849</v>
      </c>
      <c r="D10" s="628" t="s">
        <v>1442</v>
      </c>
      <c r="E10" s="628"/>
      <c r="F10" s="628"/>
      <c r="G10" s="629"/>
      <c r="H10" s="217">
        <f>IF('CE sintesi'!H10=0,"",'CE sintesi'!H10)</f>
        <v>1252767942.5699999</v>
      </c>
      <c r="I10" s="217">
        <f>IF('CE sintesi'!I10=0,"",'CE sintesi'!I10)</f>
        <v>1238103106.9300001</v>
      </c>
      <c r="J10" s="218">
        <f>IF('CE sintesi'!J10=0,"",'CE sintesi'!J10)</f>
        <v>14664835.639999866</v>
      </c>
      <c r="K10" s="219">
        <f>IF('CE sintesi'!K10=0,"",'CE sintesi'!K10)</f>
        <v>1.1844599660494179E-2</v>
      </c>
      <c r="L10" s="214"/>
      <c r="M10" s="220">
        <f>IF('CE sintesi'!M10=0,"",'CE sintesi'!M10)</f>
        <v>1197309589.2400002</v>
      </c>
    </row>
    <row r="11" spans="1:14" s="55" customFormat="1" ht="30" hidden="1" customHeight="1" outlineLevel="1">
      <c r="A11" s="209" t="s">
        <v>451</v>
      </c>
      <c r="B11" s="221"/>
      <c r="C11" s="222"/>
      <c r="D11" s="223"/>
      <c r="E11" s="222" t="s">
        <v>2851</v>
      </c>
      <c r="F11" s="625" t="s">
        <v>2365</v>
      </c>
      <c r="G11" s="626"/>
      <c r="H11" s="225">
        <f>IF('CE sintesi'!H11=0,"",'CE sintesi'!H11)</f>
        <v>1203982641.27</v>
      </c>
      <c r="I11" s="225">
        <f>IF('CE sintesi'!I11=0,"",'CE sintesi'!I11)</f>
        <v>1214399062.9400001</v>
      </c>
      <c r="J11" s="226">
        <f>IF('CE sintesi'!J11=0,"",'CE sintesi'!J11)</f>
        <v>-10416421.670000076</v>
      </c>
      <c r="K11" s="227">
        <f>IF('CE sintesi'!K11=0,"",'CE sintesi'!K11)</f>
        <v>-8.5774289423300731E-3</v>
      </c>
      <c r="L11" s="209"/>
      <c r="M11" s="228">
        <f>IF('CE sintesi'!M11=0,"",'CE sintesi'!M11)</f>
        <v>1175424308.7</v>
      </c>
    </row>
    <row r="12" spans="1:14" s="55" customFormat="1" hidden="1" outlineLevel="1">
      <c r="A12" s="209"/>
      <c r="B12" s="221"/>
      <c r="C12" s="222"/>
      <c r="D12" s="223"/>
      <c r="E12" s="222" t="s">
        <v>2853</v>
      </c>
      <c r="F12" s="625" t="s">
        <v>2366</v>
      </c>
      <c r="G12" s="626"/>
      <c r="H12" s="225">
        <f>IF('CE sintesi'!H12=0,"",'CE sintesi'!H12)</f>
        <v>48288000</v>
      </c>
      <c r="I12" s="225">
        <f>IF('CE sintesi'!I12=0,"",'CE sintesi'!I12)</f>
        <v>23423000</v>
      </c>
      <c r="J12" s="226">
        <f>IF('CE sintesi'!J12=0,"",'CE sintesi'!J12)</f>
        <v>24865000</v>
      </c>
      <c r="K12" s="227">
        <f>IF('CE sintesi'!K12=0,"",'CE sintesi'!K12)</f>
        <v>1.0615634205695257</v>
      </c>
      <c r="L12" s="209"/>
      <c r="M12" s="228">
        <f>IF('CE sintesi'!M12=0,"",'CE sintesi'!M12)</f>
        <v>21792095.649999999</v>
      </c>
    </row>
    <row r="13" spans="1:14" s="80" customFormat="1" ht="30" hidden="1" customHeight="1" outlineLevel="1">
      <c r="A13" s="209" t="s">
        <v>2855</v>
      </c>
      <c r="B13" s="229"/>
      <c r="C13" s="230"/>
      <c r="D13" s="231"/>
      <c r="E13" s="230"/>
      <c r="F13" s="232" t="s">
        <v>2849</v>
      </c>
      <c r="G13" s="236" t="s">
        <v>2367</v>
      </c>
      <c r="H13" s="233" t="str">
        <f>IF('CE sintesi'!H13=0,"",'CE sintesi'!H13)</f>
        <v/>
      </c>
      <c r="I13" s="233" t="str">
        <f>IF('CE sintesi'!I13=0,"",'CE sintesi'!I13)</f>
        <v/>
      </c>
      <c r="J13" s="233" t="str">
        <f>IF('CE sintesi'!J13=0,"",'CE sintesi'!J13)</f>
        <v/>
      </c>
      <c r="K13" s="227" t="str">
        <f>IF('CE sintesi'!K13=0,"",'CE sintesi'!K13)</f>
        <v xml:space="preserve">-    </v>
      </c>
      <c r="L13" s="234"/>
      <c r="M13" s="235" t="str">
        <f>IF('CE sintesi'!M13=0,"",'CE sintesi'!M13)</f>
        <v/>
      </c>
    </row>
    <row r="14" spans="1:14" s="80" customFormat="1" ht="30" hidden="1" customHeight="1" outlineLevel="1">
      <c r="A14" s="234" t="s">
        <v>2857</v>
      </c>
      <c r="B14" s="229"/>
      <c r="C14" s="230"/>
      <c r="D14" s="231"/>
      <c r="E14" s="230"/>
      <c r="F14" s="232" t="s">
        <v>2858</v>
      </c>
      <c r="G14" s="236" t="s">
        <v>2368</v>
      </c>
      <c r="H14" s="233" t="str">
        <f>IF('CE sintesi'!H14=0,"",'CE sintesi'!H14)</f>
        <v/>
      </c>
      <c r="I14" s="233" t="str">
        <f>IF('CE sintesi'!I14=0,"",'CE sintesi'!I14)</f>
        <v/>
      </c>
      <c r="J14" s="233" t="str">
        <f>IF('CE sintesi'!J14=0,"",'CE sintesi'!J14)</f>
        <v/>
      </c>
      <c r="K14" s="227" t="str">
        <f>IF('CE sintesi'!K14=0,"",'CE sintesi'!K14)</f>
        <v xml:space="preserve">-    </v>
      </c>
      <c r="L14" s="234"/>
      <c r="M14" s="235" t="str">
        <f>IF('CE sintesi'!M14=0,"",'CE sintesi'!M14)</f>
        <v/>
      </c>
    </row>
    <row r="15" spans="1:14" s="80" customFormat="1" ht="30" hidden="1" customHeight="1" outlineLevel="1">
      <c r="A15" s="209" t="s">
        <v>2860</v>
      </c>
      <c r="B15" s="229"/>
      <c r="C15" s="230"/>
      <c r="D15" s="231"/>
      <c r="E15" s="230"/>
      <c r="F15" s="232" t="s">
        <v>2861</v>
      </c>
      <c r="G15" s="236" t="s">
        <v>2369</v>
      </c>
      <c r="H15" s="233">
        <f>IF('CE sintesi'!H15=0,"",'CE sintesi'!H15)</f>
        <v>48288000</v>
      </c>
      <c r="I15" s="233">
        <f>IF('CE sintesi'!I15=0,"",'CE sintesi'!I15)</f>
        <v>22823000</v>
      </c>
      <c r="J15" s="233">
        <f>IF('CE sintesi'!J15=0,"",'CE sintesi'!J15)</f>
        <v>25465000</v>
      </c>
      <c r="K15" s="227">
        <f>IF('CE sintesi'!K15=0,"",'CE sintesi'!K15)</f>
        <v>1.1157604171230775</v>
      </c>
      <c r="L15" s="234"/>
      <c r="M15" s="235">
        <f>IF('CE sintesi'!M15=0,"",'CE sintesi'!M15)</f>
        <v>21792095.649999999</v>
      </c>
    </row>
    <row r="16" spans="1:14" s="80" customFormat="1" ht="30" hidden="1" customHeight="1" outlineLevel="1">
      <c r="A16" s="234" t="s">
        <v>2863</v>
      </c>
      <c r="B16" s="229"/>
      <c r="C16" s="230"/>
      <c r="D16" s="231"/>
      <c r="E16" s="230"/>
      <c r="F16" s="232" t="s">
        <v>2864</v>
      </c>
      <c r="G16" s="236" t="s">
        <v>2370</v>
      </c>
      <c r="H16" s="233" t="str">
        <f>IF('CE sintesi'!H16=0,"",'CE sintesi'!H16)</f>
        <v/>
      </c>
      <c r="I16" s="233">
        <f>IF('CE sintesi'!I16=0,"",'CE sintesi'!I16)</f>
        <v>600000</v>
      </c>
      <c r="J16" s="233">
        <f>IF('CE sintesi'!J16=0,"",'CE sintesi'!J16)</f>
        <v>-600000</v>
      </c>
      <c r="K16" s="227">
        <f>IF('CE sintesi'!K16=0,"",'CE sintesi'!K16)</f>
        <v>-1</v>
      </c>
      <c r="L16" s="234"/>
      <c r="M16" s="235" t="str">
        <f>IF('CE sintesi'!M16=0,"",'CE sintesi'!M16)</f>
        <v/>
      </c>
    </row>
    <row r="17" spans="1:13" s="80" customFormat="1" ht="30" hidden="1" customHeight="1" outlineLevel="1">
      <c r="A17" s="209" t="s">
        <v>3536</v>
      </c>
      <c r="B17" s="229"/>
      <c r="C17" s="230"/>
      <c r="D17" s="231"/>
      <c r="E17" s="230"/>
      <c r="F17" s="232" t="s">
        <v>3537</v>
      </c>
      <c r="G17" s="236" t="s">
        <v>2371</v>
      </c>
      <c r="H17" s="233" t="str">
        <f>IF('CE sintesi'!H17=0,"",'CE sintesi'!H17)</f>
        <v/>
      </c>
      <c r="I17" s="233" t="str">
        <f>IF('CE sintesi'!I17=0,"",'CE sintesi'!I17)</f>
        <v/>
      </c>
      <c r="J17" s="233" t="str">
        <f>IF('CE sintesi'!J17=0,"",'CE sintesi'!J17)</f>
        <v/>
      </c>
      <c r="K17" s="237" t="str">
        <f>IF('CE sintesi'!K17=0,"",'CE sintesi'!K17)</f>
        <v xml:space="preserve">-    </v>
      </c>
      <c r="L17" s="234"/>
      <c r="M17" s="235" t="str">
        <f>IF('CE sintesi'!M17=0,"",'CE sintesi'!M17)</f>
        <v/>
      </c>
    </row>
    <row r="18" spans="1:13" s="80" customFormat="1" hidden="1" outlineLevel="1">
      <c r="A18" s="234" t="s">
        <v>3539</v>
      </c>
      <c r="B18" s="229"/>
      <c r="C18" s="230"/>
      <c r="D18" s="231"/>
      <c r="E18" s="230"/>
      <c r="F18" s="232" t="s">
        <v>3540</v>
      </c>
      <c r="G18" s="236" t="s">
        <v>3686</v>
      </c>
      <c r="H18" s="233" t="str">
        <f>IF('CE sintesi'!H18=0,"",'CE sintesi'!H18)</f>
        <v/>
      </c>
      <c r="I18" s="233" t="str">
        <f>IF('CE sintesi'!I18=0,"",'CE sintesi'!I18)</f>
        <v/>
      </c>
      <c r="J18" s="233" t="str">
        <f>IF('CE sintesi'!J18=0,"",'CE sintesi'!J18)</f>
        <v/>
      </c>
      <c r="K18" s="227" t="str">
        <f>IF('CE sintesi'!K18=0,"",'CE sintesi'!K18)</f>
        <v xml:space="preserve">-    </v>
      </c>
      <c r="L18" s="234"/>
      <c r="M18" s="235" t="str">
        <f>IF('CE sintesi'!M18=0,"",'CE sintesi'!M18)</f>
        <v/>
      </c>
    </row>
    <row r="19" spans="1:13" s="55" customFormat="1" hidden="1" outlineLevel="1">
      <c r="A19" s="209"/>
      <c r="B19" s="221"/>
      <c r="C19" s="222"/>
      <c r="D19" s="223"/>
      <c r="E19" s="222" t="s">
        <v>3542</v>
      </c>
      <c r="F19" s="625" t="s">
        <v>2372</v>
      </c>
      <c r="G19" s="626"/>
      <c r="H19" s="225">
        <f>IF('CE sintesi'!H19=0,"",'CE sintesi'!H19)</f>
        <v>497301.3</v>
      </c>
      <c r="I19" s="225">
        <f>IF('CE sintesi'!I19=0,"",'CE sintesi'!I19)</f>
        <v>281043.99</v>
      </c>
      <c r="J19" s="226">
        <f>IF('CE sintesi'!J19=0,"",'CE sintesi'!J19)</f>
        <v>216257.31</v>
      </c>
      <c r="K19" s="227">
        <f>IF('CE sintesi'!K19=0,"",'CE sintesi'!K19)</f>
        <v>0.76947850761725956</v>
      </c>
      <c r="L19" s="209"/>
      <c r="M19" s="228">
        <f>IF('CE sintesi'!M19=0,"",'CE sintesi'!M19)</f>
        <v>93184.89</v>
      </c>
    </row>
    <row r="20" spans="1:13" s="55" customFormat="1" hidden="1" outlineLevel="1">
      <c r="A20" s="209" t="s">
        <v>3544</v>
      </c>
      <c r="B20" s="221"/>
      <c r="C20" s="222"/>
      <c r="D20" s="223"/>
      <c r="E20" s="223"/>
      <c r="F20" s="238" t="s">
        <v>2849</v>
      </c>
      <c r="G20" s="236" t="s">
        <v>2373</v>
      </c>
      <c r="H20" s="233" t="str">
        <f>IF('CE sintesi'!H20=0,"",'CE sintesi'!H20)</f>
        <v/>
      </c>
      <c r="I20" s="233" t="str">
        <f>IF('CE sintesi'!I20=0,"",'CE sintesi'!I20)</f>
        <v/>
      </c>
      <c r="J20" s="233" t="str">
        <f>IF('CE sintesi'!J20=0,"",'CE sintesi'!J20)</f>
        <v/>
      </c>
      <c r="K20" s="239" t="str">
        <f>IF('CE sintesi'!K20=0,"",'CE sintesi'!K20)</f>
        <v xml:space="preserve">-    </v>
      </c>
      <c r="L20" s="209"/>
      <c r="M20" s="228" t="str">
        <f>IF('CE sintesi'!M20=0,"",'CE sintesi'!M20)</f>
        <v/>
      </c>
    </row>
    <row r="21" spans="1:13" s="55" customFormat="1" hidden="1" outlineLevel="1">
      <c r="A21" s="209" t="s">
        <v>3544</v>
      </c>
      <c r="B21" s="221"/>
      <c r="C21" s="222"/>
      <c r="D21" s="223"/>
      <c r="E21" s="223"/>
      <c r="F21" s="238" t="s">
        <v>2858</v>
      </c>
      <c r="G21" s="236" t="s">
        <v>2374</v>
      </c>
      <c r="H21" s="233">
        <f>IF('CE sintesi'!H21=0,"",'CE sintesi'!H21)</f>
        <v>47301.3</v>
      </c>
      <c r="I21" s="233">
        <f>IF('CE sintesi'!I21=0,"",'CE sintesi'!I21)</f>
        <v>81043.990000000005</v>
      </c>
      <c r="J21" s="233">
        <f>IF('CE sintesi'!J21=0,"",'CE sintesi'!J21)</f>
        <v>-33742.69</v>
      </c>
      <c r="K21" s="239">
        <f>IF('CE sintesi'!K21=0,"",'CE sintesi'!K21)</f>
        <v>-0.41635030555627878</v>
      </c>
      <c r="L21" s="209"/>
      <c r="M21" s="228">
        <f>IF('CE sintesi'!M21=0,"",'CE sintesi'!M21)</f>
        <v>47301.3</v>
      </c>
    </row>
    <row r="22" spans="1:13" s="55" customFormat="1" hidden="1" outlineLevel="1">
      <c r="A22" s="209" t="s">
        <v>3544</v>
      </c>
      <c r="B22" s="221"/>
      <c r="C22" s="222"/>
      <c r="D22" s="223"/>
      <c r="E22" s="223"/>
      <c r="F22" s="238" t="s">
        <v>2861</v>
      </c>
      <c r="G22" s="236" t="s">
        <v>2375</v>
      </c>
      <c r="H22" s="233">
        <f>IF('CE sintesi'!H22=0,"",'CE sintesi'!H22)</f>
        <v>450000</v>
      </c>
      <c r="I22" s="233">
        <f>IF('CE sintesi'!I22=0,"",'CE sintesi'!I22)</f>
        <v>200000</v>
      </c>
      <c r="J22" s="233">
        <f>IF('CE sintesi'!J22=0,"",'CE sintesi'!J22)</f>
        <v>250000</v>
      </c>
      <c r="K22" s="239">
        <f>IF('CE sintesi'!K22=0,"",'CE sintesi'!K22)</f>
        <v>1.25</v>
      </c>
      <c r="L22" s="209"/>
      <c r="M22" s="228">
        <f>IF('CE sintesi'!M22=0,"",'CE sintesi'!M22)</f>
        <v>45883.59</v>
      </c>
    </row>
    <row r="23" spans="1:13" s="55" customFormat="1" hidden="1" outlineLevel="1">
      <c r="A23" s="209" t="s">
        <v>3544</v>
      </c>
      <c r="B23" s="221"/>
      <c r="C23" s="222"/>
      <c r="D23" s="223"/>
      <c r="E23" s="223"/>
      <c r="F23" s="238" t="s">
        <v>2864</v>
      </c>
      <c r="G23" s="236" t="s">
        <v>2376</v>
      </c>
      <c r="H23" s="233" t="str">
        <f>IF('CE sintesi'!H23=0,"",'CE sintesi'!H23)</f>
        <v/>
      </c>
      <c r="I23" s="233" t="str">
        <f>IF('CE sintesi'!I23=0,"",'CE sintesi'!I23)</f>
        <v/>
      </c>
      <c r="J23" s="233" t="str">
        <f>IF('CE sintesi'!J23=0,"",'CE sintesi'!J23)</f>
        <v/>
      </c>
      <c r="K23" s="239" t="str">
        <f>IF('CE sintesi'!K23=0,"",'CE sintesi'!K23)</f>
        <v xml:space="preserve">-    </v>
      </c>
      <c r="L23" s="209"/>
      <c r="M23" s="228" t="str">
        <f>IF('CE sintesi'!M23=0,"",'CE sintesi'!M23)</f>
        <v/>
      </c>
    </row>
    <row r="24" spans="1:13" s="55" customFormat="1" hidden="1" outlineLevel="1">
      <c r="A24" s="209" t="s">
        <v>3549</v>
      </c>
      <c r="B24" s="221"/>
      <c r="C24" s="222"/>
      <c r="D24" s="223"/>
      <c r="E24" s="222" t="s">
        <v>3550</v>
      </c>
      <c r="F24" s="625" t="s">
        <v>2377</v>
      </c>
      <c r="G24" s="626"/>
      <c r="H24" s="225" t="str">
        <f>IF('CE sintesi'!H24=0,"",'CE sintesi'!H24)</f>
        <v/>
      </c>
      <c r="I24" s="225" t="str">
        <f>IF('CE sintesi'!I24=0,"",'CE sintesi'!I24)</f>
        <v/>
      </c>
      <c r="J24" s="226" t="str">
        <f>IF('CE sintesi'!J24=0,"",'CE sintesi'!J24)</f>
        <v/>
      </c>
      <c r="K24" s="227" t="str">
        <f>IF('CE sintesi'!K24=0,"",'CE sintesi'!K24)</f>
        <v xml:space="preserve">-    </v>
      </c>
      <c r="L24" s="209"/>
      <c r="M24" s="228" t="str">
        <f>IF('CE sintesi'!M24=0,"",'CE sintesi'!M24)</f>
        <v/>
      </c>
    </row>
    <row r="25" spans="1:13" s="79" customFormat="1" ht="30" customHeight="1" collapsed="1">
      <c r="A25" s="209" t="s">
        <v>3552</v>
      </c>
      <c r="B25" s="240"/>
      <c r="C25" s="216" t="s">
        <v>2858</v>
      </c>
      <c r="D25" s="628" t="s">
        <v>2378</v>
      </c>
      <c r="E25" s="628"/>
      <c r="F25" s="628"/>
      <c r="G25" s="629"/>
      <c r="H25" s="217" t="str">
        <f>IF('CE sintesi'!H25=0,"",'CE sintesi'!H25)</f>
        <v/>
      </c>
      <c r="I25" s="217" t="str">
        <f>IF('CE sintesi'!I25=0,"",'CE sintesi'!I25)</f>
        <v/>
      </c>
      <c r="J25" s="218" t="str">
        <f>IF('CE sintesi'!J25=0,"",'CE sintesi'!J25)</f>
        <v/>
      </c>
      <c r="K25" s="219" t="str">
        <f>IF('CE sintesi'!K25=0,"",'CE sintesi'!K25)</f>
        <v xml:space="preserve">-    </v>
      </c>
      <c r="L25" s="214"/>
      <c r="M25" s="220">
        <f>IF('CE sintesi'!M25=0,"",'CE sintesi'!M25)</f>
        <v>-1628.07</v>
      </c>
    </row>
    <row r="26" spans="1:13" s="79" customFormat="1" ht="30" customHeight="1">
      <c r="A26" s="209" t="s">
        <v>3552</v>
      </c>
      <c r="B26" s="240"/>
      <c r="C26" s="216" t="s">
        <v>2861</v>
      </c>
      <c r="D26" s="628" t="s">
        <v>2379</v>
      </c>
      <c r="E26" s="628"/>
      <c r="F26" s="628"/>
      <c r="G26" s="629"/>
      <c r="H26" s="217" t="str">
        <f>IF('CE sintesi'!H26=0,"",'CE sintesi'!H26)</f>
        <v/>
      </c>
      <c r="I26" s="217" t="str">
        <f>IF('CE sintesi'!I26=0,"",'CE sintesi'!I26)</f>
        <v/>
      </c>
      <c r="J26" s="218" t="str">
        <f>IF('CE sintesi'!J26=0,"",'CE sintesi'!J26)</f>
        <v/>
      </c>
      <c r="K26" s="219" t="str">
        <f>IF('CE sintesi'!K26=0,"",'CE sintesi'!K26)</f>
        <v xml:space="preserve">-    </v>
      </c>
      <c r="L26" s="214"/>
      <c r="M26" s="220" t="str">
        <f>IF('CE sintesi'!M26=0,"",'CE sintesi'!M26)</f>
        <v/>
      </c>
    </row>
    <row r="27" spans="1:13" s="79" customFormat="1" ht="30" customHeight="1">
      <c r="A27" s="209"/>
      <c r="B27" s="215"/>
      <c r="C27" s="216" t="s">
        <v>2864</v>
      </c>
      <c r="D27" s="628" t="s">
        <v>2380</v>
      </c>
      <c r="E27" s="628"/>
      <c r="F27" s="628"/>
      <c r="G27" s="629"/>
      <c r="H27" s="217">
        <f>IF('CE sintesi'!H27=0,"",'CE sintesi'!H27)</f>
        <v>63818000</v>
      </c>
      <c r="I27" s="217">
        <f>IF('CE sintesi'!I27=0,"",'CE sintesi'!I27)</f>
        <v>62325000</v>
      </c>
      <c r="J27" s="218">
        <f>IF('CE sintesi'!J27=0,"",'CE sintesi'!J27)</f>
        <v>1493000</v>
      </c>
      <c r="K27" s="219">
        <f>IF('CE sintesi'!K27=0,"",'CE sintesi'!K27)</f>
        <v>2.3955074207781788E-2</v>
      </c>
      <c r="L27" s="214"/>
      <c r="M27" s="220">
        <f>IF('CE sintesi'!M27=0,"",'CE sintesi'!M27)</f>
        <v>62686886.729999997</v>
      </c>
    </row>
    <row r="28" spans="1:13" s="55" customFormat="1" ht="30" hidden="1" customHeight="1" outlineLevel="1">
      <c r="A28" s="209" t="s">
        <v>3556</v>
      </c>
      <c r="B28" s="221"/>
      <c r="C28" s="222"/>
      <c r="D28" s="223"/>
      <c r="E28" s="222" t="s">
        <v>2851</v>
      </c>
      <c r="F28" s="625" t="s">
        <v>2381</v>
      </c>
      <c r="G28" s="626"/>
      <c r="H28" s="225">
        <f>IF('CE sintesi'!H28=0,"",'CE sintesi'!H28)</f>
        <v>45979000</v>
      </c>
      <c r="I28" s="225">
        <f>IF('CE sintesi'!I28=0,"",'CE sintesi'!I28)</f>
        <v>44486000</v>
      </c>
      <c r="J28" s="226">
        <f>IF('CE sintesi'!J28=0,"",'CE sintesi'!J28)</f>
        <v>1493000</v>
      </c>
      <c r="K28" s="227">
        <f>IF('CE sintesi'!K28=0,"",'CE sintesi'!K28)</f>
        <v>3.3561120352470442E-2</v>
      </c>
      <c r="L28" s="209"/>
      <c r="M28" s="228">
        <f>IF('CE sintesi'!M28=0,"",'CE sintesi'!M28)</f>
        <v>44600647.119999997</v>
      </c>
    </row>
    <row r="29" spans="1:13" s="55" customFormat="1" hidden="1" outlineLevel="1">
      <c r="A29" s="209" t="s">
        <v>3558</v>
      </c>
      <c r="B29" s="221"/>
      <c r="C29" s="222"/>
      <c r="D29" s="223"/>
      <c r="E29" s="222" t="s">
        <v>2853</v>
      </c>
      <c r="F29" s="625" t="s">
        <v>2382</v>
      </c>
      <c r="G29" s="626"/>
      <c r="H29" s="225">
        <f>IF('CE sintesi'!H29=0,"",'CE sintesi'!H29)</f>
        <v>3455000</v>
      </c>
      <c r="I29" s="225">
        <f>IF('CE sintesi'!I29=0,"",'CE sintesi'!I29)</f>
        <v>3455000</v>
      </c>
      <c r="J29" s="226" t="str">
        <f>IF('CE sintesi'!J29=0,"",'CE sintesi'!J29)</f>
        <v/>
      </c>
      <c r="K29" s="227" t="str">
        <f>IF('CE sintesi'!K29=0,"",'CE sintesi'!K29)</f>
        <v/>
      </c>
      <c r="L29" s="209"/>
      <c r="M29" s="228">
        <f>IF('CE sintesi'!M29=0,"",'CE sintesi'!M29)</f>
        <v>3519111.9000000004</v>
      </c>
    </row>
    <row r="30" spans="1:13" s="55" customFormat="1" hidden="1" outlineLevel="1">
      <c r="A30" s="209" t="s">
        <v>3560</v>
      </c>
      <c r="B30" s="221"/>
      <c r="C30" s="222"/>
      <c r="D30" s="223"/>
      <c r="E30" s="222" t="s">
        <v>3542</v>
      </c>
      <c r="F30" s="625" t="s">
        <v>2383</v>
      </c>
      <c r="G30" s="626"/>
      <c r="H30" s="225">
        <f>IF('CE sintesi'!H30=0,"",'CE sintesi'!H30)</f>
        <v>14384000</v>
      </c>
      <c r="I30" s="225">
        <f>IF('CE sintesi'!I30=0,"",'CE sintesi'!I30)</f>
        <v>14384000</v>
      </c>
      <c r="J30" s="226" t="str">
        <f>IF('CE sintesi'!J30=0,"",'CE sintesi'!J30)</f>
        <v/>
      </c>
      <c r="K30" s="227" t="str">
        <f>IF('CE sintesi'!K30=0,"",'CE sintesi'!K30)</f>
        <v/>
      </c>
      <c r="L30" s="209"/>
      <c r="M30" s="228">
        <f>IF('CE sintesi'!M30=0,"",'CE sintesi'!M30)</f>
        <v>14567127.709999999</v>
      </c>
    </row>
    <row r="31" spans="1:13" s="79" customFormat="1" collapsed="1">
      <c r="A31" s="209" t="s">
        <v>3562</v>
      </c>
      <c r="B31" s="240"/>
      <c r="C31" s="216" t="s">
        <v>3537</v>
      </c>
      <c r="D31" s="628" t="s">
        <v>2384</v>
      </c>
      <c r="E31" s="628"/>
      <c r="F31" s="628"/>
      <c r="G31" s="629"/>
      <c r="H31" s="217">
        <f>IF('CE sintesi'!H31=0,"",'CE sintesi'!H31)</f>
        <v>18485000</v>
      </c>
      <c r="I31" s="217">
        <f>IF('CE sintesi'!I31=0,"",'CE sintesi'!I31)</f>
        <v>18485000</v>
      </c>
      <c r="J31" s="218" t="str">
        <f>IF('CE sintesi'!J31=0,"",'CE sintesi'!J31)</f>
        <v/>
      </c>
      <c r="K31" s="219" t="str">
        <f>IF('CE sintesi'!K31=0,"",'CE sintesi'!K31)</f>
        <v/>
      </c>
      <c r="L31" s="214"/>
      <c r="M31" s="220">
        <f>IF('CE sintesi'!M31=0,"",'CE sintesi'!M31)</f>
        <v>22147624.57</v>
      </c>
    </row>
    <row r="32" spans="1:13" s="79" customFormat="1">
      <c r="A32" s="209" t="s">
        <v>3564</v>
      </c>
      <c r="B32" s="240"/>
      <c r="C32" s="216" t="s">
        <v>3540</v>
      </c>
      <c r="D32" s="628" t="s">
        <v>1661</v>
      </c>
      <c r="E32" s="628"/>
      <c r="F32" s="628"/>
      <c r="G32" s="629"/>
      <c r="H32" s="217">
        <f>IF('CE sintesi'!H32=0,"",'CE sintesi'!H32)</f>
        <v>20300000</v>
      </c>
      <c r="I32" s="217">
        <f>IF('CE sintesi'!I32=0,"",'CE sintesi'!I32)</f>
        <v>20300000</v>
      </c>
      <c r="J32" s="218" t="str">
        <f>IF('CE sintesi'!J32=0,"",'CE sintesi'!J32)</f>
        <v/>
      </c>
      <c r="K32" s="219" t="str">
        <f>IF('CE sintesi'!K32=0,"",'CE sintesi'!K32)</f>
        <v/>
      </c>
      <c r="L32" s="214"/>
      <c r="M32" s="220">
        <f>IF('CE sintesi'!M32=0,"",'CE sintesi'!M32)</f>
        <v>20554351.309999999</v>
      </c>
    </row>
    <row r="33" spans="1:13" s="79" customFormat="1">
      <c r="A33" s="209" t="s">
        <v>3566</v>
      </c>
      <c r="B33" s="240"/>
      <c r="C33" s="216" t="s">
        <v>3567</v>
      </c>
      <c r="D33" s="628" t="s">
        <v>1662</v>
      </c>
      <c r="E33" s="628"/>
      <c r="F33" s="628"/>
      <c r="G33" s="629"/>
      <c r="H33" s="217">
        <f>IF('CE sintesi'!H33=0,"",'CE sintesi'!H33)</f>
        <v>25401000</v>
      </c>
      <c r="I33" s="217">
        <f>IF('CE sintesi'!I33=0,"",'CE sintesi'!I33)</f>
        <v>25401000</v>
      </c>
      <c r="J33" s="218" t="str">
        <f>IF('CE sintesi'!J33=0,"",'CE sintesi'!J33)</f>
        <v/>
      </c>
      <c r="K33" s="219" t="str">
        <f>IF('CE sintesi'!K33=0,"",'CE sintesi'!K33)</f>
        <v/>
      </c>
      <c r="L33" s="214"/>
      <c r="M33" s="220">
        <f>IF('CE sintesi'!M33=0,"",'CE sintesi'!M33)</f>
        <v>25402235.600000001</v>
      </c>
    </row>
    <row r="34" spans="1:13" s="79" customFormat="1" ht="30" customHeight="1">
      <c r="A34" s="209" t="s">
        <v>3569</v>
      </c>
      <c r="B34" s="240"/>
      <c r="C34" s="216" t="s">
        <v>3570</v>
      </c>
      <c r="D34" s="628" t="s">
        <v>1663</v>
      </c>
      <c r="E34" s="628"/>
      <c r="F34" s="628"/>
      <c r="G34" s="629"/>
      <c r="H34" s="217" t="str">
        <f>IF('CE sintesi'!H34=0,"",'CE sintesi'!H34)</f>
        <v/>
      </c>
      <c r="I34" s="217" t="str">
        <f>IF('CE sintesi'!I34=0,"",'CE sintesi'!I34)</f>
        <v/>
      </c>
      <c r="J34" s="218" t="str">
        <f>IF('CE sintesi'!J34=0,"",'CE sintesi'!J34)</f>
        <v/>
      </c>
      <c r="K34" s="219" t="str">
        <f>IF('CE sintesi'!K34=0,"",'CE sintesi'!K34)</f>
        <v xml:space="preserve">-    </v>
      </c>
      <c r="L34" s="214"/>
      <c r="M34" s="220">
        <f>IF('CE sintesi'!M34=0,"",'CE sintesi'!M34)</f>
        <v>27185.11</v>
      </c>
    </row>
    <row r="35" spans="1:13" s="79" customFormat="1">
      <c r="A35" s="209" t="s">
        <v>3572</v>
      </c>
      <c r="B35" s="240"/>
      <c r="C35" s="216" t="s">
        <v>3573</v>
      </c>
      <c r="D35" s="628" t="s">
        <v>1664</v>
      </c>
      <c r="E35" s="628"/>
      <c r="F35" s="628"/>
      <c r="G35" s="629"/>
      <c r="H35" s="217">
        <f>IF('CE sintesi'!H35=0,"",'CE sintesi'!H35)</f>
        <v>4783600</v>
      </c>
      <c r="I35" s="217">
        <f>IF('CE sintesi'!I35=0,"",'CE sintesi'!I35)</f>
        <v>4803600</v>
      </c>
      <c r="J35" s="218">
        <f>IF('CE sintesi'!J35=0,"",'CE sintesi'!J35)</f>
        <v>-20000</v>
      </c>
      <c r="K35" s="219">
        <f>IF('CE sintesi'!K35=0,"",'CE sintesi'!K35)</f>
        <v>-4.1635440086601715E-3</v>
      </c>
      <c r="L35" s="214"/>
      <c r="M35" s="220">
        <f>IF('CE sintesi'!M35=0,"",'CE sintesi'!M35)</f>
        <v>4631908.5199999996</v>
      </c>
    </row>
    <row r="36" spans="1:13" s="79" customFormat="1">
      <c r="A36" s="209"/>
      <c r="B36" s="241"/>
      <c r="C36" s="242" t="s">
        <v>1665</v>
      </c>
      <c r="D36" s="242"/>
      <c r="E36" s="242"/>
      <c r="F36" s="242"/>
      <c r="G36" s="243"/>
      <c r="H36" s="244">
        <f>IF('CE sintesi'!H36=0,"",'CE sintesi'!H36)</f>
        <v>1385555542.5699999</v>
      </c>
      <c r="I36" s="244">
        <f>IF('CE sintesi'!I36=0,"",'CE sintesi'!I36)</f>
        <v>1369417706.9300001</v>
      </c>
      <c r="J36" s="245">
        <f>IF('CE sintesi'!J36=0,"",'CE sintesi'!J36)</f>
        <v>16137835.639999866</v>
      </c>
      <c r="K36" s="246">
        <f>IF('CE sintesi'!K36=0,"",'CE sintesi'!K36)</f>
        <v>1.178445083507656E-2</v>
      </c>
      <c r="L36" s="214"/>
      <c r="M36" s="247">
        <f>IF('CE sintesi'!M36=0,"",'CE sintesi'!M36)</f>
        <v>1332758153.0100002</v>
      </c>
    </row>
    <row r="37" spans="1:13" s="55" customFormat="1">
      <c r="A37" s="209"/>
      <c r="B37" s="248"/>
      <c r="C37" s="222"/>
      <c r="D37" s="223"/>
      <c r="E37" s="223"/>
      <c r="F37" s="223"/>
      <c r="G37" s="224"/>
      <c r="H37" s="225" t="str">
        <f>IF('CE sintesi'!H37=0,"",'CE sintesi'!H37)</f>
        <v/>
      </c>
      <c r="I37" s="225" t="str">
        <f>IF('CE sintesi'!I37=0,"",'CE sintesi'!I37)</f>
        <v/>
      </c>
      <c r="J37" s="226" t="str">
        <f>IF('CE sintesi'!J37=0,"",'CE sintesi'!J37)</f>
        <v/>
      </c>
      <c r="K37" s="227" t="str">
        <f>IF('CE sintesi'!K37=0,"",'CE sintesi'!K37)</f>
        <v/>
      </c>
      <c r="L37" s="209"/>
      <c r="M37" s="228" t="str">
        <f>IF('CE sintesi'!M37=0,"",'CE sintesi'!M37)</f>
        <v/>
      </c>
    </row>
    <row r="38" spans="1:13" s="79" customFormat="1">
      <c r="A38" s="209"/>
      <c r="B38" s="215" t="s">
        <v>2135</v>
      </c>
      <c r="C38" s="630" t="s">
        <v>2177</v>
      </c>
      <c r="D38" s="630"/>
      <c r="E38" s="630"/>
      <c r="F38" s="630"/>
      <c r="G38" s="631"/>
      <c r="H38" s="217" t="str">
        <f>IF('CE sintesi'!H38=0,"",'CE sintesi'!H38)</f>
        <v/>
      </c>
      <c r="I38" s="217" t="str">
        <f>IF('CE sintesi'!I38=0,"",'CE sintesi'!I38)</f>
        <v/>
      </c>
      <c r="J38" s="218" t="str">
        <f>IF('CE sintesi'!J38=0,"",'CE sintesi'!J38)</f>
        <v/>
      </c>
      <c r="K38" s="219" t="str">
        <f>IF('CE sintesi'!K38=0,"",'CE sintesi'!K38)</f>
        <v/>
      </c>
      <c r="L38" s="214"/>
      <c r="M38" s="220" t="str">
        <f>IF('CE sintesi'!M38=0,"",'CE sintesi'!M38)</f>
        <v/>
      </c>
    </row>
    <row r="39" spans="1:13" s="79" customFormat="1">
      <c r="A39" s="209"/>
      <c r="B39" s="240"/>
      <c r="C39" s="216" t="s">
        <v>2849</v>
      </c>
      <c r="D39" s="628" t="s">
        <v>2179</v>
      </c>
      <c r="E39" s="628"/>
      <c r="F39" s="628"/>
      <c r="G39" s="629"/>
      <c r="H39" s="217">
        <f>IF('CE sintesi'!H39=0,"",'CE sintesi'!H39)</f>
        <v>209161042.56999999</v>
      </c>
      <c r="I39" s="217">
        <f>IF('CE sintesi'!I39=0,"",'CE sintesi'!I39)</f>
        <v>201033500</v>
      </c>
      <c r="J39" s="218">
        <f>IF('CE sintesi'!J39=0,"",'CE sintesi'!J39)</f>
        <v>8127542.5699999928</v>
      </c>
      <c r="K39" s="219">
        <f>IF('CE sintesi'!K39=0,"",'CE sintesi'!K39)</f>
        <v>4.04287970412891E-2</v>
      </c>
      <c r="L39" s="214"/>
      <c r="M39" s="220">
        <f>IF('CE sintesi'!M39=0,"",'CE sintesi'!M39)</f>
        <v>189893103.14000005</v>
      </c>
    </row>
    <row r="40" spans="1:13" s="55" customFormat="1" hidden="1" outlineLevel="1">
      <c r="A40" s="209" t="s">
        <v>2510</v>
      </c>
      <c r="B40" s="221"/>
      <c r="C40" s="222"/>
      <c r="D40" s="223"/>
      <c r="E40" s="222" t="s">
        <v>2851</v>
      </c>
      <c r="F40" s="625" t="s">
        <v>1666</v>
      </c>
      <c r="G40" s="626"/>
      <c r="H40" s="225">
        <f>IF('CE sintesi'!H40=0,"",'CE sintesi'!H40)</f>
        <v>190041042.56999999</v>
      </c>
      <c r="I40" s="225">
        <f>IF('CE sintesi'!I40=0,"",'CE sintesi'!I40)</f>
        <v>182388500</v>
      </c>
      <c r="J40" s="226">
        <f>IF('CE sintesi'!J40=0,"",'CE sintesi'!J40)</f>
        <v>7652542.5699999928</v>
      </c>
      <c r="K40" s="227">
        <f>IF('CE sintesi'!K40=0,"",'CE sintesi'!K40)</f>
        <v>4.1957374341035719E-2</v>
      </c>
      <c r="L40" s="209"/>
      <c r="M40" s="228">
        <f>IF('CE sintesi'!M40=0,"",'CE sintesi'!M40)</f>
        <v>171947489.75000003</v>
      </c>
    </row>
    <row r="41" spans="1:13" s="55" customFormat="1" hidden="1" outlineLevel="1">
      <c r="A41" s="209" t="s">
        <v>3110</v>
      </c>
      <c r="B41" s="221"/>
      <c r="C41" s="222"/>
      <c r="D41" s="223"/>
      <c r="E41" s="222" t="s">
        <v>2853</v>
      </c>
      <c r="F41" s="625" t="s">
        <v>1667</v>
      </c>
      <c r="G41" s="626"/>
      <c r="H41" s="225">
        <f>IF('CE sintesi'!H41=0,"",'CE sintesi'!H41)</f>
        <v>19120000</v>
      </c>
      <c r="I41" s="225">
        <f>IF('CE sintesi'!I41=0,"",'CE sintesi'!I41)</f>
        <v>18645000</v>
      </c>
      <c r="J41" s="226">
        <f>IF('CE sintesi'!J41=0,"",'CE sintesi'!J41)</f>
        <v>475000</v>
      </c>
      <c r="K41" s="227">
        <f>IF('CE sintesi'!K41=0,"",'CE sintesi'!K41)</f>
        <v>2.5475998927326361E-2</v>
      </c>
      <c r="L41" s="209"/>
      <c r="M41" s="228">
        <f>IF('CE sintesi'!M41=0,"",'CE sintesi'!M41)</f>
        <v>17945613.390000001</v>
      </c>
    </row>
    <row r="42" spans="1:13" s="79" customFormat="1" collapsed="1">
      <c r="A42" s="209"/>
      <c r="B42" s="240"/>
      <c r="C42" s="216" t="s">
        <v>2858</v>
      </c>
      <c r="D42" s="628" t="s">
        <v>1668</v>
      </c>
      <c r="E42" s="628"/>
      <c r="F42" s="628"/>
      <c r="G42" s="629"/>
      <c r="H42" s="217">
        <f>IF('CE sintesi'!H42=0,"",'CE sintesi'!H42)</f>
        <v>357006000</v>
      </c>
      <c r="I42" s="217">
        <f>IF('CE sintesi'!I42=0,"",'CE sintesi'!I42)</f>
        <v>346270000</v>
      </c>
      <c r="J42" s="218">
        <f>IF('CE sintesi'!J42=0,"",'CE sintesi'!J42)</f>
        <v>10736000</v>
      </c>
      <c r="K42" s="219">
        <f>IF('CE sintesi'!K42=0,"",'CE sintesi'!K42)</f>
        <v>3.1004707309325093E-2</v>
      </c>
      <c r="L42" s="214"/>
      <c r="M42" s="220">
        <f>IF('CE sintesi'!M42=0,"",'CE sintesi'!M42)</f>
        <v>336772440.71000004</v>
      </c>
    </row>
    <row r="43" spans="1:13" s="55" customFormat="1" hidden="1" outlineLevel="1">
      <c r="A43" s="209" t="s">
        <v>2133</v>
      </c>
      <c r="B43" s="248"/>
      <c r="C43" s="222"/>
      <c r="D43" s="223"/>
      <c r="E43" s="222" t="s">
        <v>2851</v>
      </c>
      <c r="F43" s="625" t="s">
        <v>1669</v>
      </c>
      <c r="G43" s="626"/>
      <c r="H43" s="225">
        <f>IF('CE sintesi'!H43=0,"",'CE sintesi'!H43)</f>
        <v>65820000</v>
      </c>
      <c r="I43" s="225">
        <f>IF('CE sintesi'!I43=0,"",'CE sintesi'!I43)</f>
        <v>65542000</v>
      </c>
      <c r="J43" s="226">
        <f>IF('CE sintesi'!J43=0,"",'CE sintesi'!J43)</f>
        <v>278000</v>
      </c>
      <c r="K43" s="227">
        <f>IF('CE sintesi'!K43=0,"",'CE sintesi'!K43)</f>
        <v>4.2415550334136886E-3</v>
      </c>
      <c r="L43" s="209"/>
      <c r="M43" s="228">
        <f>IF('CE sintesi'!M43=0,"",'CE sintesi'!M43)</f>
        <v>62869563.25999999</v>
      </c>
    </row>
    <row r="44" spans="1:13" s="55" customFormat="1" hidden="1" outlineLevel="1">
      <c r="A44" s="209" t="s">
        <v>1376</v>
      </c>
      <c r="B44" s="248"/>
      <c r="C44" s="222"/>
      <c r="D44" s="223"/>
      <c r="E44" s="222" t="s">
        <v>2853</v>
      </c>
      <c r="F44" s="625" t="s">
        <v>1670</v>
      </c>
      <c r="G44" s="626"/>
      <c r="H44" s="225">
        <f>IF('CE sintesi'!H44=0,"",'CE sintesi'!H44)</f>
        <v>45548000</v>
      </c>
      <c r="I44" s="225">
        <f>IF('CE sintesi'!I44=0,"",'CE sintesi'!I44)</f>
        <v>45555000</v>
      </c>
      <c r="J44" s="226">
        <f>IF('CE sintesi'!J44=0,"",'CE sintesi'!J44)</f>
        <v>-7000</v>
      </c>
      <c r="K44" s="227">
        <f>IF('CE sintesi'!K44=0,"",'CE sintesi'!K44)</f>
        <v>-1.5366041049281087E-4</v>
      </c>
      <c r="L44" s="209"/>
      <c r="M44" s="228">
        <f>IF('CE sintesi'!M44=0,"",'CE sintesi'!M44)</f>
        <v>46305529.780000001</v>
      </c>
    </row>
    <row r="45" spans="1:13" s="55" customFormat="1" ht="30" hidden="1" customHeight="1" outlineLevel="1">
      <c r="A45" s="209" t="s">
        <v>2604</v>
      </c>
      <c r="B45" s="248"/>
      <c r="C45" s="222"/>
      <c r="D45" s="249"/>
      <c r="E45" s="222" t="s">
        <v>3542</v>
      </c>
      <c r="F45" s="625" t="s">
        <v>1671</v>
      </c>
      <c r="G45" s="626"/>
      <c r="H45" s="225">
        <f>IF('CE sintesi'!H45=0,"",'CE sintesi'!H45)</f>
        <v>17553000</v>
      </c>
      <c r="I45" s="225">
        <f>IF('CE sintesi'!I45=0,"",'CE sintesi'!I45)</f>
        <v>15234000</v>
      </c>
      <c r="J45" s="226">
        <f>IF('CE sintesi'!J45=0,"",'CE sintesi'!J45)</f>
        <v>2319000</v>
      </c>
      <c r="K45" s="227">
        <f>IF('CE sintesi'!K45=0,"",'CE sintesi'!K45)</f>
        <v>0.15222528554549036</v>
      </c>
      <c r="L45" s="209"/>
      <c r="M45" s="228">
        <f>IF('CE sintesi'!M45=0,"",'CE sintesi'!M45)</f>
        <v>12753148.77</v>
      </c>
    </row>
    <row r="46" spans="1:13" s="55" customFormat="1" hidden="1" outlineLevel="1">
      <c r="A46" s="209" t="s">
        <v>2024</v>
      </c>
      <c r="B46" s="248"/>
      <c r="C46" s="222"/>
      <c r="D46" s="249"/>
      <c r="E46" s="222" t="s">
        <v>3550</v>
      </c>
      <c r="F46" s="625" t="s">
        <v>1672</v>
      </c>
      <c r="G46" s="626"/>
      <c r="H46" s="225">
        <f>IF('CE sintesi'!H46=0,"",'CE sintesi'!H46)</f>
        <v>112000</v>
      </c>
      <c r="I46" s="225">
        <f>IF('CE sintesi'!I46=0,"",'CE sintesi'!I46)</f>
        <v>112000</v>
      </c>
      <c r="J46" s="226" t="str">
        <f>IF('CE sintesi'!J46=0,"",'CE sintesi'!J46)</f>
        <v/>
      </c>
      <c r="K46" s="227" t="str">
        <f>IF('CE sintesi'!K46=0,"",'CE sintesi'!K46)</f>
        <v/>
      </c>
      <c r="L46" s="209"/>
      <c r="M46" s="228">
        <f>IF('CE sintesi'!M46=0,"",'CE sintesi'!M46)</f>
        <v>98014.1</v>
      </c>
    </row>
    <row r="47" spans="1:13" s="55" customFormat="1" hidden="1" outlineLevel="1">
      <c r="A47" s="209" t="s">
        <v>2074</v>
      </c>
      <c r="B47" s="248"/>
      <c r="C47" s="222"/>
      <c r="D47" s="249"/>
      <c r="E47" s="222" t="s">
        <v>3583</v>
      </c>
      <c r="F47" s="625" t="s">
        <v>1673</v>
      </c>
      <c r="G47" s="626"/>
      <c r="H47" s="225">
        <f>IF('CE sintesi'!H47=0,"",'CE sintesi'!H47)</f>
        <v>28559000</v>
      </c>
      <c r="I47" s="225">
        <f>IF('CE sintesi'!I47=0,"",'CE sintesi'!I47)</f>
        <v>28018000</v>
      </c>
      <c r="J47" s="226">
        <f>IF('CE sintesi'!J47=0,"",'CE sintesi'!J47)</f>
        <v>541000</v>
      </c>
      <c r="K47" s="227">
        <f>IF('CE sintesi'!K47=0,"",'CE sintesi'!K47)</f>
        <v>1.9309015632807482E-2</v>
      </c>
      <c r="L47" s="209"/>
      <c r="M47" s="228">
        <f>IF('CE sintesi'!M47=0,"",'CE sintesi'!M47)</f>
        <v>27666808.720000003</v>
      </c>
    </row>
    <row r="48" spans="1:13" s="55" customFormat="1" hidden="1" outlineLevel="1">
      <c r="A48" s="209" t="s">
        <v>1951</v>
      </c>
      <c r="B48" s="248"/>
      <c r="C48" s="222"/>
      <c r="D48" s="249"/>
      <c r="E48" s="222" t="s">
        <v>3585</v>
      </c>
      <c r="F48" s="625" t="s">
        <v>1674</v>
      </c>
      <c r="G48" s="626"/>
      <c r="H48" s="225">
        <f>IF('CE sintesi'!H48=0,"",'CE sintesi'!H48)</f>
        <v>7786000</v>
      </c>
      <c r="I48" s="225">
        <f>IF('CE sintesi'!I48=0,"",'CE sintesi'!I48)</f>
        <v>7431000</v>
      </c>
      <c r="J48" s="226">
        <f>IF('CE sintesi'!J48=0,"",'CE sintesi'!J48)</f>
        <v>355000</v>
      </c>
      <c r="K48" s="227">
        <f>IF('CE sintesi'!K48=0,"",'CE sintesi'!K48)</f>
        <v>4.7772843493473285E-2</v>
      </c>
      <c r="L48" s="209"/>
      <c r="M48" s="228">
        <f>IF('CE sintesi'!M48=0,"",'CE sintesi'!M48)</f>
        <v>6737383.9000000004</v>
      </c>
    </row>
    <row r="49" spans="1:13" s="55" customFormat="1" hidden="1" outlineLevel="1">
      <c r="A49" s="209" t="s">
        <v>1921</v>
      </c>
      <c r="B49" s="248"/>
      <c r="C49" s="222"/>
      <c r="D49" s="249"/>
      <c r="E49" s="222" t="s">
        <v>3587</v>
      </c>
      <c r="F49" s="625" t="s">
        <v>1675</v>
      </c>
      <c r="G49" s="626"/>
      <c r="H49" s="225">
        <f>IF('CE sintesi'!H49=0,"",'CE sintesi'!H49)</f>
        <v>49974000</v>
      </c>
      <c r="I49" s="225">
        <f>IF('CE sintesi'!I49=0,"",'CE sintesi'!I49)</f>
        <v>48473000</v>
      </c>
      <c r="J49" s="226">
        <f>IF('CE sintesi'!J49=0,"",'CE sintesi'!J49)</f>
        <v>1501000</v>
      </c>
      <c r="K49" s="227">
        <f>IF('CE sintesi'!K49=0,"",'CE sintesi'!K49)</f>
        <v>3.0965692241041405E-2</v>
      </c>
      <c r="L49" s="209"/>
      <c r="M49" s="228">
        <f>IF('CE sintesi'!M49=0,"",'CE sintesi'!M49)</f>
        <v>45779234.760000005</v>
      </c>
    </row>
    <row r="50" spans="1:13" s="80" customFormat="1" ht="30" hidden="1" customHeight="1" outlineLevel="1">
      <c r="A50" s="209" t="s">
        <v>2003</v>
      </c>
      <c r="B50" s="248"/>
      <c r="C50" s="222"/>
      <c r="D50" s="249"/>
      <c r="E50" s="222" t="s">
        <v>3589</v>
      </c>
      <c r="F50" s="625" t="s">
        <v>1676</v>
      </c>
      <c r="G50" s="626"/>
      <c r="H50" s="225">
        <f>IF('CE sintesi'!H50=0,"",'CE sintesi'!H50)</f>
        <v>10171000</v>
      </c>
      <c r="I50" s="225">
        <f>IF('CE sintesi'!I50=0,"",'CE sintesi'!I50)</f>
        <v>10171000</v>
      </c>
      <c r="J50" s="226" t="str">
        <f>IF('CE sintesi'!J50=0,"",'CE sintesi'!J50)</f>
        <v/>
      </c>
      <c r="K50" s="227" t="str">
        <f>IF('CE sintesi'!K50=0,"",'CE sintesi'!K50)</f>
        <v/>
      </c>
      <c r="L50" s="209"/>
      <c r="M50" s="228">
        <f>IF('CE sintesi'!M50=0,"",'CE sintesi'!M50)</f>
        <v>10052103.300000001</v>
      </c>
    </row>
    <row r="51" spans="1:13" s="55" customFormat="1" ht="30" hidden="1" customHeight="1" outlineLevel="1">
      <c r="A51" s="209" t="s">
        <v>1395</v>
      </c>
      <c r="B51" s="248"/>
      <c r="C51" s="222"/>
      <c r="D51" s="249"/>
      <c r="E51" s="222" t="s">
        <v>3591</v>
      </c>
      <c r="F51" s="625" t="s">
        <v>1677</v>
      </c>
      <c r="G51" s="626"/>
      <c r="H51" s="225">
        <f>IF('CE sintesi'!H51=0,"",'CE sintesi'!H51)</f>
        <v>2817000</v>
      </c>
      <c r="I51" s="225">
        <f>IF('CE sintesi'!I51=0,"",'CE sintesi'!I51)</f>
        <v>3047000</v>
      </c>
      <c r="J51" s="226">
        <f>IF('CE sintesi'!J51=0,"",'CE sintesi'!J51)</f>
        <v>-230000</v>
      </c>
      <c r="K51" s="227">
        <f>IF('CE sintesi'!K51=0,"",'CE sintesi'!K51)</f>
        <v>-7.5484082704299307E-2</v>
      </c>
      <c r="L51" s="209"/>
      <c r="M51" s="228">
        <f>IF('CE sintesi'!M51=0,"",'CE sintesi'!M51)</f>
        <v>2635819.73</v>
      </c>
    </row>
    <row r="52" spans="1:13" s="55" customFormat="1" hidden="1" outlineLevel="1">
      <c r="A52" s="209" t="s">
        <v>3593</v>
      </c>
      <c r="B52" s="248"/>
      <c r="C52" s="222"/>
      <c r="D52" s="249"/>
      <c r="E52" s="222" t="s">
        <v>3594</v>
      </c>
      <c r="F52" s="625" t="s">
        <v>1678</v>
      </c>
      <c r="G52" s="626"/>
      <c r="H52" s="225">
        <f>IF('CE sintesi'!H52=0,"",'CE sintesi'!H52)</f>
        <v>532000</v>
      </c>
      <c r="I52" s="225">
        <f>IF('CE sintesi'!I52=0,"",'CE sintesi'!I52)</f>
        <v>707000</v>
      </c>
      <c r="J52" s="226">
        <f>IF('CE sintesi'!J52=0,"",'CE sintesi'!J52)</f>
        <v>-175000</v>
      </c>
      <c r="K52" s="227">
        <f>IF('CE sintesi'!K52=0,"",'CE sintesi'!K52)</f>
        <v>-0.24752475247524752</v>
      </c>
      <c r="L52" s="209"/>
      <c r="M52" s="228">
        <f>IF('CE sintesi'!M52=0,"",'CE sintesi'!M52)</f>
        <v>666963.43999999994</v>
      </c>
    </row>
    <row r="53" spans="1:13" s="55" customFormat="1" hidden="1" outlineLevel="1">
      <c r="A53" s="209" t="s">
        <v>3596</v>
      </c>
      <c r="B53" s="248"/>
      <c r="C53" s="222"/>
      <c r="D53" s="249"/>
      <c r="E53" s="222" t="s">
        <v>3597</v>
      </c>
      <c r="F53" s="625" t="s">
        <v>1679</v>
      </c>
      <c r="G53" s="626"/>
      <c r="H53" s="225">
        <f>IF('CE sintesi'!H53=0,"",'CE sintesi'!H53)</f>
        <v>33093000</v>
      </c>
      <c r="I53" s="225">
        <f>IF('CE sintesi'!I53=0,"",'CE sintesi'!I53)</f>
        <v>32175000</v>
      </c>
      <c r="J53" s="226">
        <f>IF('CE sintesi'!J53=0,"",'CE sintesi'!J53)</f>
        <v>918000</v>
      </c>
      <c r="K53" s="227">
        <f>IF('CE sintesi'!K53=0,"",'CE sintesi'!K53)</f>
        <v>2.8531468531468533E-2</v>
      </c>
      <c r="L53" s="209"/>
      <c r="M53" s="228">
        <f>IF('CE sintesi'!M53=0,"",'CE sintesi'!M53)</f>
        <v>31408484.32</v>
      </c>
    </row>
    <row r="54" spans="1:13" s="55" customFormat="1" hidden="1" outlineLevel="1">
      <c r="A54" s="209" t="s">
        <v>3599</v>
      </c>
      <c r="B54" s="248"/>
      <c r="C54" s="222"/>
      <c r="D54" s="249"/>
      <c r="E54" s="222" t="s">
        <v>3600</v>
      </c>
      <c r="F54" s="625" t="s">
        <v>1680</v>
      </c>
      <c r="G54" s="626"/>
      <c r="H54" s="225">
        <f>IF('CE sintesi'!H54=0,"",'CE sintesi'!H54)</f>
        <v>53623000</v>
      </c>
      <c r="I54" s="225">
        <f>IF('CE sintesi'!I54=0,"",'CE sintesi'!I54)</f>
        <v>52498000</v>
      </c>
      <c r="J54" s="226">
        <f>IF('CE sintesi'!J54=0,"",'CE sintesi'!J54)</f>
        <v>1125000</v>
      </c>
      <c r="K54" s="227">
        <f>IF('CE sintesi'!K54=0,"",'CE sintesi'!K54)</f>
        <v>2.1429387786201379E-2</v>
      </c>
      <c r="L54" s="209"/>
      <c r="M54" s="228">
        <f>IF('CE sintesi'!M54=0,"",'CE sintesi'!M54)</f>
        <v>50382651.090000018</v>
      </c>
    </row>
    <row r="55" spans="1:13" s="55" customFormat="1" ht="30" hidden="1" customHeight="1" outlineLevel="1">
      <c r="A55" s="209" t="s">
        <v>3602</v>
      </c>
      <c r="B55" s="248"/>
      <c r="C55" s="222"/>
      <c r="D55" s="249"/>
      <c r="E55" s="222" t="s">
        <v>3603</v>
      </c>
      <c r="F55" s="625" t="s">
        <v>1681</v>
      </c>
      <c r="G55" s="626"/>
      <c r="H55" s="225">
        <f>IF('CE sintesi'!H55=0,"",'CE sintesi'!H55)</f>
        <v>2532000</v>
      </c>
      <c r="I55" s="225">
        <f>IF('CE sintesi'!I55=0,"",'CE sintesi'!I55)</f>
        <v>2532000</v>
      </c>
      <c r="J55" s="226" t="str">
        <f>IF('CE sintesi'!J55=0,"",'CE sintesi'!J55)</f>
        <v/>
      </c>
      <c r="K55" s="227" t="str">
        <f>IF('CE sintesi'!K55=0,"",'CE sintesi'!K55)</f>
        <v/>
      </c>
      <c r="L55" s="209"/>
      <c r="M55" s="228">
        <f>IF('CE sintesi'!M55=0,"",'CE sintesi'!M55)</f>
        <v>2012204.97</v>
      </c>
    </row>
    <row r="56" spans="1:13" s="55" customFormat="1" hidden="1" outlineLevel="1">
      <c r="A56" s="209" t="s">
        <v>3604</v>
      </c>
      <c r="B56" s="248"/>
      <c r="C56" s="222"/>
      <c r="D56" s="249"/>
      <c r="E56" s="222" t="s">
        <v>3605</v>
      </c>
      <c r="F56" s="625" t="s">
        <v>1682</v>
      </c>
      <c r="G56" s="626"/>
      <c r="H56" s="225">
        <f>IF('CE sintesi'!H56=0,"",'CE sintesi'!H56)</f>
        <v>5903000</v>
      </c>
      <c r="I56" s="225">
        <f>IF('CE sintesi'!I56=0,"",'CE sintesi'!I56)</f>
        <v>5908000</v>
      </c>
      <c r="J56" s="226">
        <f>IF('CE sintesi'!J56=0,"",'CE sintesi'!J56)</f>
        <v>-5000</v>
      </c>
      <c r="K56" s="227">
        <f>IF('CE sintesi'!K56=0,"",'CE sintesi'!K56)</f>
        <v>-8.463100880162492E-4</v>
      </c>
      <c r="L56" s="209"/>
      <c r="M56" s="228">
        <f>IF('CE sintesi'!M56=0,"",'CE sintesi'!M56)</f>
        <v>5723289.1100000003</v>
      </c>
    </row>
    <row r="57" spans="1:13" s="55" customFormat="1" ht="30" hidden="1" customHeight="1" outlineLevel="1">
      <c r="A57" s="209" t="s">
        <v>3607</v>
      </c>
      <c r="B57" s="248"/>
      <c r="C57" s="250"/>
      <c r="D57" s="251"/>
      <c r="E57" s="222" t="s">
        <v>3608</v>
      </c>
      <c r="F57" s="625" t="s">
        <v>1683</v>
      </c>
      <c r="G57" s="626"/>
      <c r="H57" s="225">
        <f>IF('CE sintesi'!H57=0,"",'CE sintesi'!H57)</f>
        <v>2451000</v>
      </c>
      <c r="I57" s="225">
        <f>IF('CE sintesi'!I57=0,"",'CE sintesi'!I57)</f>
        <v>2412000</v>
      </c>
      <c r="J57" s="226">
        <f>IF('CE sintesi'!J57=0,"",'CE sintesi'!J57)</f>
        <v>39000</v>
      </c>
      <c r="K57" s="227">
        <f>IF('CE sintesi'!K57=0,"",'CE sintesi'!K57)</f>
        <v>1.6169154228855721E-2</v>
      </c>
      <c r="L57" s="209"/>
      <c r="M57" s="228">
        <f>IF('CE sintesi'!M57=0,"",'CE sintesi'!M57)</f>
        <v>2748896.5899999994</v>
      </c>
    </row>
    <row r="58" spans="1:13" s="55" customFormat="1" ht="30" hidden="1" customHeight="1" outlineLevel="1">
      <c r="A58" s="209" t="s">
        <v>2869</v>
      </c>
      <c r="B58" s="248"/>
      <c r="C58" s="250"/>
      <c r="D58" s="251"/>
      <c r="E58" s="222" t="s">
        <v>2870</v>
      </c>
      <c r="F58" s="625" t="s">
        <v>1684</v>
      </c>
      <c r="G58" s="626"/>
      <c r="H58" s="225">
        <f>IF('CE sintesi'!H58=0,"",'CE sintesi'!H58)</f>
        <v>30532000</v>
      </c>
      <c r="I58" s="225">
        <f>IF('CE sintesi'!I58=0,"",'CE sintesi'!I58)</f>
        <v>26455000</v>
      </c>
      <c r="J58" s="226">
        <f>IF('CE sintesi'!J58=0,"",'CE sintesi'!J58)</f>
        <v>4077000</v>
      </c>
      <c r="K58" s="227">
        <f>IF('CE sintesi'!K58=0,"",'CE sintesi'!K58)</f>
        <v>0.15411075411075412</v>
      </c>
      <c r="L58" s="209"/>
      <c r="M58" s="228">
        <f>IF('CE sintesi'!M58=0,"",'CE sintesi'!M58)</f>
        <v>28932344.870000001</v>
      </c>
    </row>
    <row r="59" spans="1:13" s="55" customFormat="1" hidden="1" outlineLevel="1">
      <c r="A59" s="209" t="s">
        <v>2872</v>
      </c>
      <c r="B59" s="248"/>
      <c r="C59" s="250"/>
      <c r="D59" s="251"/>
      <c r="E59" s="222" t="s">
        <v>2873</v>
      </c>
      <c r="F59" s="625" t="s">
        <v>1685</v>
      </c>
      <c r="G59" s="626"/>
      <c r="H59" s="225" t="str">
        <f>IF('CE sintesi'!H59=0,"",'CE sintesi'!H59)</f>
        <v/>
      </c>
      <c r="I59" s="225" t="str">
        <f>IF('CE sintesi'!I59=0,"",'CE sintesi'!I59)</f>
        <v/>
      </c>
      <c r="J59" s="226" t="str">
        <f>IF('CE sintesi'!J59=0,"",'CE sintesi'!J59)</f>
        <v/>
      </c>
      <c r="K59" s="227" t="str">
        <f>IF('CE sintesi'!K59=0,"",'CE sintesi'!K59)</f>
        <v xml:space="preserve">-    </v>
      </c>
      <c r="L59" s="209"/>
      <c r="M59" s="228" t="str">
        <f>IF('CE sintesi'!M59=0,"",'CE sintesi'!M59)</f>
        <v/>
      </c>
    </row>
    <row r="60" spans="1:13" s="55" customFormat="1" collapsed="1">
      <c r="A60" s="209"/>
      <c r="B60" s="248"/>
      <c r="C60" s="216" t="s">
        <v>2861</v>
      </c>
      <c r="D60" s="628" t="s">
        <v>1686</v>
      </c>
      <c r="E60" s="628"/>
      <c r="F60" s="628"/>
      <c r="G60" s="629"/>
      <c r="H60" s="217">
        <f>IF('CE sintesi'!H60=0,"",'CE sintesi'!H60)</f>
        <v>69865500</v>
      </c>
      <c r="I60" s="217">
        <f>IF('CE sintesi'!I60=0,"",'CE sintesi'!I60)</f>
        <v>67175000</v>
      </c>
      <c r="J60" s="218">
        <f>IF('CE sintesi'!J60=0,"",'CE sintesi'!J60)</f>
        <v>2690500</v>
      </c>
      <c r="K60" s="219">
        <f>IF('CE sintesi'!K60=0,"",'CE sintesi'!K60)</f>
        <v>4.005210271678452E-2</v>
      </c>
      <c r="L60" s="209"/>
      <c r="M60" s="220">
        <f>IF('CE sintesi'!M60=0,"",'CE sintesi'!M60)</f>
        <v>64452956.669999987</v>
      </c>
    </row>
    <row r="61" spans="1:13" s="55" customFormat="1" hidden="1" outlineLevel="1">
      <c r="A61" s="209" t="s">
        <v>2876</v>
      </c>
      <c r="B61" s="248"/>
      <c r="C61" s="216"/>
      <c r="D61" s="252"/>
      <c r="E61" s="222" t="s">
        <v>2851</v>
      </c>
      <c r="F61" s="625" t="s">
        <v>1687</v>
      </c>
      <c r="G61" s="626"/>
      <c r="H61" s="225">
        <f>IF('CE sintesi'!H61=0,"",'CE sintesi'!H61)</f>
        <v>66205500</v>
      </c>
      <c r="I61" s="225">
        <f>IF('CE sintesi'!I61=0,"",'CE sintesi'!I61)</f>
        <v>63535000</v>
      </c>
      <c r="J61" s="226">
        <f>IF('CE sintesi'!J61=0,"",'CE sintesi'!J61)</f>
        <v>2670500</v>
      </c>
      <c r="K61" s="227">
        <f>IF('CE sintesi'!K61=0,"",'CE sintesi'!K61)</f>
        <v>4.2031950893208471E-2</v>
      </c>
      <c r="L61" s="209"/>
      <c r="M61" s="228">
        <f>IF('CE sintesi'!M61=0,"",'CE sintesi'!M61)</f>
        <v>60874003.819999993</v>
      </c>
    </row>
    <row r="62" spans="1:13" s="55" customFormat="1" ht="30" hidden="1" customHeight="1" outlineLevel="1">
      <c r="A62" s="209" t="s">
        <v>2878</v>
      </c>
      <c r="B62" s="248"/>
      <c r="C62" s="253"/>
      <c r="D62" s="222"/>
      <c r="E62" s="222" t="s">
        <v>2853</v>
      </c>
      <c r="F62" s="625" t="s">
        <v>1688</v>
      </c>
      <c r="G62" s="626"/>
      <c r="H62" s="225">
        <f>IF('CE sintesi'!H62=0,"",'CE sintesi'!H62)</f>
        <v>321000</v>
      </c>
      <c r="I62" s="225">
        <f>IF('CE sintesi'!I62=0,"",'CE sintesi'!I62)</f>
        <v>301000</v>
      </c>
      <c r="J62" s="226">
        <f>IF('CE sintesi'!J62=0,"",'CE sintesi'!J62)</f>
        <v>20000</v>
      </c>
      <c r="K62" s="227">
        <f>IF('CE sintesi'!K62=0,"",'CE sintesi'!K62)</f>
        <v>6.6445182724252497E-2</v>
      </c>
      <c r="L62" s="209"/>
      <c r="M62" s="228">
        <f>IF('CE sintesi'!M62=0,"",'CE sintesi'!M62)</f>
        <v>239480.94</v>
      </c>
    </row>
    <row r="63" spans="1:13" s="55" customFormat="1" hidden="1" outlineLevel="1">
      <c r="A63" s="209" t="s">
        <v>2880</v>
      </c>
      <c r="B63" s="248"/>
      <c r="C63" s="253"/>
      <c r="D63" s="222"/>
      <c r="E63" s="222" t="s">
        <v>3542</v>
      </c>
      <c r="F63" s="625" t="s">
        <v>1689</v>
      </c>
      <c r="G63" s="626"/>
      <c r="H63" s="225">
        <f>IF('CE sintesi'!H63=0,"",'CE sintesi'!H63)</f>
        <v>3339000</v>
      </c>
      <c r="I63" s="225">
        <f>IF('CE sintesi'!I63=0,"",'CE sintesi'!I63)</f>
        <v>3339000</v>
      </c>
      <c r="J63" s="226" t="str">
        <f>IF('CE sintesi'!J63=0,"",'CE sintesi'!J63)</f>
        <v/>
      </c>
      <c r="K63" s="227" t="str">
        <f>IF('CE sintesi'!K63=0,"",'CE sintesi'!K63)</f>
        <v/>
      </c>
      <c r="L63" s="209"/>
      <c r="M63" s="228">
        <f>IF('CE sintesi'!M63=0,"",'CE sintesi'!M63)</f>
        <v>3339471.91</v>
      </c>
    </row>
    <row r="64" spans="1:13" s="55" customFormat="1" collapsed="1">
      <c r="A64" s="209" t="s">
        <v>2882</v>
      </c>
      <c r="B64" s="248"/>
      <c r="C64" s="216" t="s">
        <v>2864</v>
      </c>
      <c r="D64" s="628" t="s">
        <v>1690</v>
      </c>
      <c r="E64" s="628"/>
      <c r="F64" s="628"/>
      <c r="G64" s="629"/>
      <c r="H64" s="217">
        <f>IF('CE sintesi'!H64=0,"",'CE sintesi'!H64)</f>
        <v>24576000</v>
      </c>
      <c r="I64" s="217">
        <f>IF('CE sintesi'!I64=0,"",'CE sintesi'!I64)</f>
        <v>23450000</v>
      </c>
      <c r="J64" s="218">
        <f>IF('CE sintesi'!J64=0,"",'CE sintesi'!J64)</f>
        <v>1126000</v>
      </c>
      <c r="K64" s="219">
        <f>IF('CE sintesi'!K64=0,"",'CE sintesi'!K64)</f>
        <v>4.8017057569296376E-2</v>
      </c>
      <c r="L64" s="209"/>
      <c r="M64" s="220">
        <f>IF('CE sintesi'!M64=0,"",'CE sintesi'!M64)</f>
        <v>22081182.43</v>
      </c>
    </row>
    <row r="65" spans="1:13" s="79" customFormat="1">
      <c r="A65" s="209" t="s">
        <v>2715</v>
      </c>
      <c r="B65" s="248"/>
      <c r="C65" s="216" t="s">
        <v>3537</v>
      </c>
      <c r="D65" s="628" t="s">
        <v>1473</v>
      </c>
      <c r="E65" s="628"/>
      <c r="F65" s="628"/>
      <c r="G65" s="629"/>
      <c r="H65" s="217">
        <f>IF('CE sintesi'!H65=0,"",'CE sintesi'!H65)</f>
        <v>10024000</v>
      </c>
      <c r="I65" s="217">
        <f>IF('CE sintesi'!I65=0,"",'CE sintesi'!I65)</f>
        <v>9144000</v>
      </c>
      <c r="J65" s="218">
        <f>IF('CE sintesi'!J65=0,"",'CE sintesi'!J65)</f>
        <v>880000</v>
      </c>
      <c r="K65" s="219">
        <f>IF('CE sintesi'!K65=0,"",'CE sintesi'!K65)</f>
        <v>9.6237970253718289E-2</v>
      </c>
      <c r="L65" s="214"/>
      <c r="M65" s="220">
        <f>IF('CE sintesi'!M65=0,"",'CE sintesi'!M65)</f>
        <v>9338326.1600000001</v>
      </c>
    </row>
    <row r="66" spans="1:13" s="79" customFormat="1">
      <c r="A66" s="209"/>
      <c r="B66" s="248"/>
      <c r="C66" s="216" t="s">
        <v>3540</v>
      </c>
      <c r="D66" s="628" t="s">
        <v>1475</v>
      </c>
      <c r="E66" s="628"/>
      <c r="F66" s="628"/>
      <c r="G66" s="629"/>
      <c r="H66" s="217">
        <f>IF('CE sintesi'!H66=0,"",'CE sintesi'!H66)</f>
        <v>638988000</v>
      </c>
      <c r="I66" s="217">
        <f>IF('CE sintesi'!I66=0,"",'CE sintesi'!I66)</f>
        <v>627600000</v>
      </c>
      <c r="J66" s="218">
        <f>IF('CE sintesi'!J66=0,"",'CE sintesi'!J66)</f>
        <v>11388000</v>
      </c>
      <c r="K66" s="219">
        <f>IF('CE sintesi'!K66=0,"",'CE sintesi'!K66)</f>
        <v>1.81453154875717E-2</v>
      </c>
      <c r="L66" s="214"/>
      <c r="M66" s="220">
        <f>IF('CE sintesi'!M66=0,"",'CE sintesi'!M66)</f>
        <v>619511404.56999993</v>
      </c>
    </row>
    <row r="67" spans="1:13" s="55" customFormat="1" hidden="1" outlineLevel="1">
      <c r="A67" s="209" t="s">
        <v>1008</v>
      </c>
      <c r="B67" s="248"/>
      <c r="C67" s="222"/>
      <c r="D67" s="254"/>
      <c r="E67" s="222" t="s">
        <v>2851</v>
      </c>
      <c r="F67" s="625" t="s">
        <v>1691</v>
      </c>
      <c r="G67" s="626"/>
      <c r="H67" s="225">
        <f>IF('CE sintesi'!H67=0,"",'CE sintesi'!H67)</f>
        <v>223621000</v>
      </c>
      <c r="I67" s="225">
        <f>IF('CE sintesi'!I67=0,"",'CE sintesi'!I67)</f>
        <v>219904000</v>
      </c>
      <c r="J67" s="226">
        <f>IF('CE sintesi'!J67=0,"",'CE sintesi'!J67)</f>
        <v>3717000</v>
      </c>
      <c r="K67" s="227">
        <f>IF('CE sintesi'!K67=0,"",'CE sintesi'!K67)</f>
        <v>1.6902830325960419E-2</v>
      </c>
      <c r="L67" s="209"/>
      <c r="M67" s="228">
        <f>IF('CE sintesi'!M67=0,"",'CE sintesi'!M67)</f>
        <v>213860302.35000002</v>
      </c>
    </row>
    <row r="68" spans="1:13" s="55" customFormat="1" hidden="1" outlineLevel="1">
      <c r="A68" s="209" t="s">
        <v>1031</v>
      </c>
      <c r="B68" s="248"/>
      <c r="C68" s="222"/>
      <c r="D68" s="254"/>
      <c r="E68" s="222" t="s">
        <v>2853</v>
      </c>
      <c r="F68" s="625" t="s">
        <v>1692</v>
      </c>
      <c r="G68" s="626"/>
      <c r="H68" s="225">
        <f>IF('CE sintesi'!H68=0,"",'CE sintesi'!H68)</f>
        <v>31580000</v>
      </c>
      <c r="I68" s="225">
        <f>IF('CE sintesi'!I68=0,"",'CE sintesi'!I68)</f>
        <v>30921000</v>
      </c>
      <c r="J68" s="226">
        <f>IF('CE sintesi'!J68=0,"",'CE sintesi'!J68)</f>
        <v>659000</v>
      </c>
      <c r="K68" s="227">
        <f>IF('CE sintesi'!K68=0,"",'CE sintesi'!K68)</f>
        <v>2.1312376701917792E-2</v>
      </c>
      <c r="L68" s="209"/>
      <c r="M68" s="228">
        <f>IF('CE sintesi'!M68=0,"",'CE sintesi'!M68)</f>
        <v>29554009.040000003</v>
      </c>
    </row>
    <row r="69" spans="1:13" s="55" customFormat="1" hidden="1" outlineLevel="1">
      <c r="A69" s="209" t="s">
        <v>1063</v>
      </c>
      <c r="B69" s="248"/>
      <c r="C69" s="222"/>
      <c r="D69" s="254"/>
      <c r="E69" s="222" t="s">
        <v>3542</v>
      </c>
      <c r="F69" s="625" t="s">
        <v>2388</v>
      </c>
      <c r="G69" s="626"/>
      <c r="H69" s="225">
        <f>IF('CE sintesi'!H69=0,"",'CE sintesi'!H69)</f>
        <v>243780000</v>
      </c>
      <c r="I69" s="225">
        <f>IF('CE sintesi'!I69=0,"",'CE sintesi'!I69)</f>
        <v>239387000</v>
      </c>
      <c r="J69" s="226">
        <f>IF('CE sintesi'!J69=0,"",'CE sintesi'!J69)</f>
        <v>4393000</v>
      </c>
      <c r="K69" s="227">
        <f>IF('CE sintesi'!K69=0,"",'CE sintesi'!K69)</f>
        <v>1.8351038276932331E-2</v>
      </c>
      <c r="L69" s="209"/>
      <c r="M69" s="228">
        <f>IF('CE sintesi'!M69=0,"",'CE sintesi'!M69)</f>
        <v>239292462.52999994</v>
      </c>
    </row>
    <row r="70" spans="1:13" s="55" customFormat="1" hidden="1" outlineLevel="1">
      <c r="A70" s="209" t="s">
        <v>208</v>
      </c>
      <c r="B70" s="248"/>
      <c r="C70" s="222"/>
      <c r="D70" s="254"/>
      <c r="E70" s="222" t="s">
        <v>3550</v>
      </c>
      <c r="F70" s="625" t="s">
        <v>2389</v>
      </c>
      <c r="G70" s="626"/>
      <c r="H70" s="225">
        <f>IF('CE sintesi'!H70=0,"",'CE sintesi'!H70)</f>
        <v>9309000</v>
      </c>
      <c r="I70" s="225">
        <f>IF('CE sintesi'!I70=0,"",'CE sintesi'!I70)</f>
        <v>9254000</v>
      </c>
      <c r="J70" s="226">
        <f>IF('CE sintesi'!J70=0,"",'CE sintesi'!J70)</f>
        <v>55000</v>
      </c>
      <c r="K70" s="227">
        <f>IF('CE sintesi'!K70=0,"",'CE sintesi'!K70)</f>
        <v>5.9433758374756859E-3</v>
      </c>
      <c r="L70" s="209"/>
      <c r="M70" s="228">
        <f>IF('CE sintesi'!M70=0,"",'CE sintesi'!M70)</f>
        <v>8991652.7100000009</v>
      </c>
    </row>
    <row r="71" spans="1:13" s="55" customFormat="1" hidden="1" outlineLevel="1">
      <c r="A71" s="209" t="s">
        <v>2888</v>
      </c>
      <c r="B71" s="248"/>
      <c r="C71" s="222"/>
      <c r="D71" s="254"/>
      <c r="E71" s="222" t="s">
        <v>3583</v>
      </c>
      <c r="F71" s="625" t="s">
        <v>2390</v>
      </c>
      <c r="G71" s="626"/>
      <c r="H71" s="225">
        <f>IF('CE sintesi'!H71=0,"",'CE sintesi'!H71)</f>
        <v>130698000</v>
      </c>
      <c r="I71" s="225">
        <f>IF('CE sintesi'!I71=0,"",'CE sintesi'!I71)</f>
        <v>128134000</v>
      </c>
      <c r="J71" s="226">
        <f>IF('CE sintesi'!J71=0,"",'CE sintesi'!J71)</f>
        <v>2564000</v>
      </c>
      <c r="K71" s="227">
        <f>IF('CE sintesi'!K71=0,"",'CE sintesi'!K71)</f>
        <v>2.0010301715391698E-2</v>
      </c>
      <c r="L71" s="209"/>
      <c r="M71" s="228">
        <f>IF('CE sintesi'!M71=0,"",'CE sintesi'!M71)</f>
        <v>127812977.93999994</v>
      </c>
    </row>
    <row r="72" spans="1:13" s="55" customFormat="1" collapsed="1">
      <c r="A72" s="209" t="s">
        <v>196</v>
      </c>
      <c r="B72" s="248"/>
      <c r="C72" s="216" t="s">
        <v>3567</v>
      </c>
      <c r="D72" s="628" t="s">
        <v>2391</v>
      </c>
      <c r="E72" s="628"/>
      <c r="F72" s="628"/>
      <c r="G72" s="629"/>
      <c r="H72" s="217">
        <f>IF('CE sintesi'!H72=0,"",'CE sintesi'!H72)</f>
        <v>3526500</v>
      </c>
      <c r="I72" s="217">
        <f>IF('CE sintesi'!I72=0,"",'CE sintesi'!I72)</f>
        <v>3443000</v>
      </c>
      <c r="J72" s="218">
        <f>IF('CE sintesi'!J72=0,"",'CE sintesi'!J72)</f>
        <v>83500</v>
      </c>
      <c r="K72" s="219">
        <f>IF('CE sintesi'!K72=0,"",'CE sintesi'!K72)</f>
        <v>2.4252105721754284E-2</v>
      </c>
      <c r="L72" s="209"/>
      <c r="M72" s="228">
        <f>IF('CE sintesi'!M72=0,"",'CE sintesi'!M72)</f>
        <v>3413737.72</v>
      </c>
    </row>
    <row r="73" spans="1:13" s="79" customFormat="1">
      <c r="A73" s="209"/>
      <c r="B73" s="248"/>
      <c r="C73" s="216" t="s">
        <v>3570</v>
      </c>
      <c r="D73" s="628" t="s">
        <v>975</v>
      </c>
      <c r="E73" s="628"/>
      <c r="F73" s="628"/>
      <c r="G73" s="629"/>
      <c r="H73" s="217">
        <f>IF('CE sintesi'!H73=0,"",'CE sintesi'!H73)</f>
        <v>26864000</v>
      </c>
      <c r="I73" s="217">
        <f>IF('CE sintesi'!I73=0,"",'CE sintesi'!I73)</f>
        <v>26064000</v>
      </c>
      <c r="J73" s="218">
        <f>IF('CE sintesi'!J73=0,"",'CE sintesi'!J73)</f>
        <v>800000</v>
      </c>
      <c r="K73" s="219">
        <f>IF('CE sintesi'!K73=0,"",'CE sintesi'!K73)</f>
        <v>3.0693677102516883E-2</v>
      </c>
      <c r="L73" s="214"/>
      <c r="M73" s="220">
        <f>IF('CE sintesi'!M73=0,"",'CE sintesi'!M73)</f>
        <v>26062872</v>
      </c>
    </row>
    <row r="74" spans="1:13" s="55" customFormat="1" hidden="1" outlineLevel="1">
      <c r="A74" s="209" t="s">
        <v>2891</v>
      </c>
      <c r="B74" s="248"/>
      <c r="C74" s="222"/>
      <c r="D74" s="254"/>
      <c r="E74" s="222" t="s">
        <v>2851</v>
      </c>
      <c r="F74" s="625" t="s">
        <v>2392</v>
      </c>
      <c r="G74" s="626"/>
      <c r="H74" s="225">
        <f>IF('CE sintesi'!H74=0,"",'CE sintesi'!H74)</f>
        <v>11144000</v>
      </c>
      <c r="I74" s="225">
        <f>IF('CE sintesi'!I74=0,"",'CE sintesi'!I74)</f>
        <v>10344000</v>
      </c>
      <c r="J74" s="226">
        <f>IF('CE sintesi'!J74=0,"",'CE sintesi'!J74)</f>
        <v>800000</v>
      </c>
      <c r="K74" s="227">
        <f>IF('CE sintesi'!K74=0,"",'CE sintesi'!K74)</f>
        <v>7.7339520494972933E-2</v>
      </c>
      <c r="L74" s="209"/>
      <c r="M74" s="228">
        <f>IF('CE sintesi'!M74=0,"",'CE sintesi'!M74)</f>
        <v>10343209.210000001</v>
      </c>
    </row>
    <row r="75" spans="1:13" s="79" customFormat="1" hidden="1" outlineLevel="1">
      <c r="A75" s="209" t="s">
        <v>2893</v>
      </c>
      <c r="B75" s="240"/>
      <c r="C75" s="216"/>
      <c r="D75" s="256"/>
      <c r="E75" s="222" t="s">
        <v>2853</v>
      </c>
      <c r="F75" s="625" t="s">
        <v>2393</v>
      </c>
      <c r="G75" s="626"/>
      <c r="H75" s="217" t="str">
        <f>IF('CE sintesi'!H75=0,"",'CE sintesi'!H75)</f>
        <v/>
      </c>
      <c r="I75" s="217" t="str">
        <f>IF('CE sintesi'!I75=0,"",'CE sintesi'!I75)</f>
        <v/>
      </c>
      <c r="J75" s="218" t="str">
        <f>IF('CE sintesi'!J75=0,"",'CE sintesi'!J75)</f>
        <v/>
      </c>
      <c r="K75" s="219" t="str">
        <f>IF('CE sintesi'!K75=0,"",'CE sintesi'!K75)</f>
        <v xml:space="preserve">-    </v>
      </c>
      <c r="L75" s="214"/>
      <c r="M75" s="220" t="str">
        <f>IF('CE sintesi'!M75=0,"",'CE sintesi'!M75)</f>
        <v/>
      </c>
    </row>
    <row r="76" spans="1:13" s="79" customFormat="1" hidden="1" outlineLevel="1">
      <c r="A76" s="209" t="s">
        <v>2895</v>
      </c>
      <c r="B76" s="240"/>
      <c r="C76" s="216"/>
      <c r="D76" s="256"/>
      <c r="E76" s="222" t="s">
        <v>3542</v>
      </c>
      <c r="F76" s="625" t="s">
        <v>2394</v>
      </c>
      <c r="G76" s="626"/>
      <c r="H76" s="225">
        <f>IF('CE sintesi'!H76=0,"",'CE sintesi'!H76)</f>
        <v>15720000</v>
      </c>
      <c r="I76" s="225">
        <f>IF('CE sintesi'!I76=0,"",'CE sintesi'!I76)</f>
        <v>15720000</v>
      </c>
      <c r="J76" s="226" t="str">
        <f>IF('CE sintesi'!J76=0,"",'CE sintesi'!J76)</f>
        <v/>
      </c>
      <c r="K76" s="227" t="str">
        <f>IF('CE sintesi'!K76=0,"",'CE sintesi'!K76)</f>
        <v/>
      </c>
      <c r="L76" s="214"/>
      <c r="M76" s="228">
        <f>IF('CE sintesi'!M76=0,"",'CE sintesi'!M76)</f>
        <v>15719662.789999999</v>
      </c>
    </row>
    <row r="77" spans="1:13" s="79" customFormat="1" collapsed="1">
      <c r="A77" s="209" t="s">
        <v>1073</v>
      </c>
      <c r="B77" s="240"/>
      <c r="C77" s="216" t="s">
        <v>3573</v>
      </c>
      <c r="D77" s="628" t="s">
        <v>2395</v>
      </c>
      <c r="E77" s="628"/>
      <c r="F77" s="628"/>
      <c r="G77" s="629"/>
      <c r="H77" s="217">
        <f>IF('CE sintesi'!H77=0,"",'CE sintesi'!H77)</f>
        <v>1050000</v>
      </c>
      <c r="I77" s="217">
        <f>IF('CE sintesi'!I77=0,"",'CE sintesi'!I77)</f>
        <v>1050000</v>
      </c>
      <c r="J77" s="218" t="str">
        <f>IF('CE sintesi'!J77=0,"",'CE sintesi'!J77)</f>
        <v/>
      </c>
      <c r="K77" s="219" t="str">
        <f>IF('CE sintesi'!K77=0,"",'CE sintesi'!K77)</f>
        <v/>
      </c>
      <c r="L77" s="214"/>
      <c r="M77" s="220">
        <f>IF('CE sintesi'!M77=0,"",'CE sintesi'!M77)</f>
        <v>965046.87</v>
      </c>
    </row>
    <row r="78" spans="1:13" s="79" customFormat="1">
      <c r="A78" s="209"/>
      <c r="B78" s="240"/>
      <c r="C78" s="216" t="s">
        <v>2897</v>
      </c>
      <c r="D78" s="628" t="s">
        <v>1477</v>
      </c>
      <c r="E78" s="628"/>
      <c r="F78" s="628"/>
      <c r="G78" s="629"/>
      <c r="H78" s="217">
        <f>IF('CE sintesi'!H78=0,"",'CE sintesi'!H78)</f>
        <v>155000</v>
      </c>
      <c r="I78" s="217">
        <f>IF('CE sintesi'!I78=0,"",'CE sintesi'!I78)</f>
        <v>155000</v>
      </c>
      <c r="J78" s="218" t="str">
        <f>IF('CE sintesi'!J78=0,"",'CE sintesi'!J78)</f>
        <v/>
      </c>
      <c r="K78" s="219" t="str">
        <f>IF('CE sintesi'!K78=0,"",'CE sintesi'!K78)</f>
        <v/>
      </c>
      <c r="L78" s="214"/>
      <c r="M78" s="220">
        <f>IF('CE sintesi'!M78=0,"",'CE sintesi'!M78)</f>
        <v>-1871889.1600000001</v>
      </c>
    </row>
    <row r="79" spans="1:13" s="55" customFormat="1" hidden="1" outlineLevel="1">
      <c r="A79" s="209" t="s">
        <v>2898</v>
      </c>
      <c r="B79" s="257"/>
      <c r="C79" s="250"/>
      <c r="D79" s="254"/>
      <c r="E79" s="222" t="s">
        <v>2851</v>
      </c>
      <c r="F79" s="625" t="s">
        <v>2396</v>
      </c>
      <c r="G79" s="626"/>
      <c r="H79" s="225">
        <f>IF('CE sintesi'!H79=0,"",'CE sintesi'!H79)</f>
        <v>110000</v>
      </c>
      <c r="I79" s="225">
        <f>IF('CE sintesi'!I79=0,"",'CE sintesi'!I79)</f>
        <v>110000</v>
      </c>
      <c r="J79" s="226" t="str">
        <f>IF('CE sintesi'!J79=0,"",'CE sintesi'!J79)</f>
        <v/>
      </c>
      <c r="K79" s="227" t="str">
        <f>IF('CE sintesi'!K79=0,"",'CE sintesi'!K79)</f>
        <v/>
      </c>
      <c r="L79" s="209"/>
      <c r="M79" s="228">
        <f>IF('CE sintesi'!M79=0,"",'CE sintesi'!M79)</f>
        <v>-1880572.1600000001</v>
      </c>
    </row>
    <row r="80" spans="1:13" s="55" customFormat="1" hidden="1" outlineLevel="1">
      <c r="A80" s="209" t="s">
        <v>2900</v>
      </c>
      <c r="B80" s="257"/>
      <c r="C80" s="250"/>
      <c r="D80" s="254"/>
      <c r="E80" s="222" t="s">
        <v>2853</v>
      </c>
      <c r="F80" s="625" t="s">
        <v>2397</v>
      </c>
      <c r="G80" s="626"/>
      <c r="H80" s="225">
        <f>IF('CE sintesi'!H80=0,"",'CE sintesi'!H80)</f>
        <v>45000</v>
      </c>
      <c r="I80" s="225">
        <f>IF('CE sintesi'!I80=0,"",'CE sintesi'!I80)</f>
        <v>45000</v>
      </c>
      <c r="J80" s="226" t="str">
        <f>IF('CE sintesi'!J80=0,"",'CE sintesi'!J80)</f>
        <v/>
      </c>
      <c r="K80" s="227" t="str">
        <f>IF('CE sintesi'!K80=0,"",'CE sintesi'!K80)</f>
        <v/>
      </c>
      <c r="L80" s="209"/>
      <c r="M80" s="228">
        <f>IF('CE sintesi'!M80=0,"",'CE sintesi'!M80)</f>
        <v>8682.9999999999927</v>
      </c>
    </row>
    <row r="81" spans="1:13" s="79" customFormat="1" collapsed="1">
      <c r="A81" s="209"/>
      <c r="B81" s="257"/>
      <c r="C81" s="216" t="s">
        <v>2902</v>
      </c>
      <c r="D81" s="628" t="s">
        <v>2398</v>
      </c>
      <c r="E81" s="628"/>
      <c r="F81" s="628"/>
      <c r="G81" s="629"/>
      <c r="H81" s="217">
        <f>IF('CE sintesi'!H81=0,"",'CE sintesi'!H81)</f>
        <v>8722000</v>
      </c>
      <c r="I81" s="217">
        <f>IF('CE sintesi'!I81=0,"",'CE sintesi'!I81)</f>
        <v>8722000</v>
      </c>
      <c r="J81" s="218" t="str">
        <f>IF('CE sintesi'!J81=0,"",'CE sintesi'!J81)</f>
        <v/>
      </c>
      <c r="K81" s="219" t="str">
        <f>IF('CE sintesi'!K81=0,"",'CE sintesi'!K81)</f>
        <v/>
      </c>
      <c r="L81" s="214"/>
      <c r="M81" s="220">
        <f>IF('CE sintesi'!M81=0,"",'CE sintesi'!M81)</f>
        <v>11300394.59</v>
      </c>
    </row>
    <row r="82" spans="1:13" s="55" customFormat="1" hidden="1" outlineLevel="1">
      <c r="A82" s="209" t="s">
        <v>2904</v>
      </c>
      <c r="B82" s="257"/>
      <c r="C82" s="250"/>
      <c r="D82" s="254"/>
      <c r="E82" s="222" t="s">
        <v>2851</v>
      </c>
      <c r="F82" s="625" t="s">
        <v>1479</v>
      </c>
      <c r="G82" s="626"/>
      <c r="H82" s="225">
        <f>IF('CE sintesi'!H82=0,"",'CE sintesi'!H82)</f>
        <v>228000</v>
      </c>
      <c r="I82" s="225">
        <f>IF('CE sintesi'!I82=0,"",'CE sintesi'!I82)</f>
        <v>228000</v>
      </c>
      <c r="J82" s="226" t="str">
        <f>IF('CE sintesi'!J82=0,"",'CE sintesi'!J82)</f>
        <v/>
      </c>
      <c r="K82" s="227" t="str">
        <f>IF('CE sintesi'!K82=0,"",'CE sintesi'!K82)</f>
        <v/>
      </c>
      <c r="L82" s="209"/>
      <c r="M82" s="228">
        <f>IF('CE sintesi'!M82=0,"",'CE sintesi'!M82)</f>
        <v>400822.15</v>
      </c>
    </row>
    <row r="83" spans="1:13" s="55" customFormat="1" hidden="1" outlineLevel="1">
      <c r="A83" s="209" t="s">
        <v>2905</v>
      </c>
      <c r="B83" s="257"/>
      <c r="C83" s="250"/>
      <c r="D83" s="254"/>
      <c r="E83" s="222" t="s">
        <v>2853</v>
      </c>
      <c r="F83" s="625" t="s">
        <v>2399</v>
      </c>
      <c r="G83" s="626"/>
      <c r="H83" s="225">
        <f>IF('CE sintesi'!H83=0,"",'CE sintesi'!H83)</f>
        <v>50000</v>
      </c>
      <c r="I83" s="225">
        <f>IF('CE sintesi'!I83=0,"",'CE sintesi'!I83)</f>
        <v>50000</v>
      </c>
      <c r="J83" s="226" t="str">
        <f>IF('CE sintesi'!J83=0,"",'CE sintesi'!J83)</f>
        <v/>
      </c>
      <c r="K83" s="227" t="str">
        <f>IF('CE sintesi'!K83=0,"",'CE sintesi'!K83)</f>
        <v/>
      </c>
      <c r="L83" s="209"/>
      <c r="M83" s="228">
        <f>IF('CE sintesi'!M83=0,"",'CE sintesi'!M83)</f>
        <v>25000</v>
      </c>
    </row>
    <row r="84" spans="1:13" s="55" customFormat="1" ht="30" hidden="1" customHeight="1" outlineLevel="1">
      <c r="A84" s="209" t="s">
        <v>2907</v>
      </c>
      <c r="B84" s="257"/>
      <c r="C84" s="250"/>
      <c r="D84" s="254"/>
      <c r="E84" s="222" t="s">
        <v>3542</v>
      </c>
      <c r="F84" s="625" t="s">
        <v>2400</v>
      </c>
      <c r="G84" s="626"/>
      <c r="H84" s="225" t="str">
        <f>IF('CE sintesi'!H84=0,"",'CE sintesi'!H84)</f>
        <v/>
      </c>
      <c r="I84" s="225" t="str">
        <f>IF('CE sintesi'!I84=0,"",'CE sintesi'!I84)</f>
        <v/>
      </c>
      <c r="J84" s="226" t="str">
        <f>IF('CE sintesi'!J84=0,"",'CE sintesi'!J84)</f>
        <v/>
      </c>
      <c r="K84" s="227" t="str">
        <f>IF('CE sintesi'!K84=0,"",'CE sintesi'!K84)</f>
        <v xml:space="preserve">-    </v>
      </c>
      <c r="L84" s="209"/>
      <c r="M84" s="228">
        <f>IF('CE sintesi'!M84=0,"",'CE sintesi'!M84)</f>
        <v>78942.33</v>
      </c>
    </row>
    <row r="85" spans="1:13" s="55" customFormat="1" hidden="1" outlineLevel="1">
      <c r="A85" s="209" t="s">
        <v>2909</v>
      </c>
      <c r="B85" s="257"/>
      <c r="C85" s="250"/>
      <c r="D85" s="254"/>
      <c r="E85" s="222" t="s">
        <v>3550</v>
      </c>
      <c r="F85" s="625" t="s">
        <v>1481</v>
      </c>
      <c r="G85" s="626"/>
      <c r="H85" s="225">
        <f>IF('CE sintesi'!H85=0,"",'CE sintesi'!H85)</f>
        <v>8444000</v>
      </c>
      <c r="I85" s="225">
        <f>IF('CE sintesi'!I85=0,"",'CE sintesi'!I85)</f>
        <v>8444000</v>
      </c>
      <c r="J85" s="226" t="str">
        <f>IF('CE sintesi'!J85=0,"",'CE sintesi'!J85)</f>
        <v/>
      </c>
      <c r="K85" s="227" t="str">
        <f>IF('CE sintesi'!K85=0,"",'CE sintesi'!K85)</f>
        <v/>
      </c>
      <c r="L85" s="209"/>
      <c r="M85" s="228">
        <f>IF('CE sintesi'!M85=0,"",'CE sintesi'!M85)</f>
        <v>10795630.109999999</v>
      </c>
    </row>
    <row r="86" spans="1:13" s="79" customFormat="1" collapsed="1">
      <c r="A86" s="209"/>
      <c r="B86" s="241"/>
      <c r="C86" s="242" t="s">
        <v>2401</v>
      </c>
      <c r="D86" s="242"/>
      <c r="E86" s="242"/>
      <c r="F86" s="242"/>
      <c r="G86" s="243"/>
      <c r="H86" s="244">
        <f>IF('CE sintesi'!H86=0,"",'CE sintesi'!H86)</f>
        <v>1349938042.5699999</v>
      </c>
      <c r="I86" s="244">
        <f>IF('CE sintesi'!I86=0,"",'CE sintesi'!I86)</f>
        <v>1314106500</v>
      </c>
      <c r="J86" s="245">
        <f>IF('CE sintesi'!J86=0,"",'CE sintesi'!J86)</f>
        <v>35831542.569999933</v>
      </c>
      <c r="K86" s="246">
        <f>IF('CE sintesi'!K86=0,"",'CE sintesi'!K86)</f>
        <v>2.7266848288171417E-2</v>
      </c>
      <c r="L86" s="214"/>
      <c r="M86" s="247">
        <f>IF('CE sintesi'!M86=0,"",'CE sintesi'!M86)</f>
        <v>1281919575.6999996</v>
      </c>
    </row>
    <row r="87" spans="1:13" s="55" customFormat="1" ht="15.75" thickBot="1">
      <c r="A87" s="209"/>
      <c r="B87" s="257"/>
      <c r="C87" s="222"/>
      <c r="D87" s="254"/>
      <c r="E87" s="251"/>
      <c r="F87" s="254"/>
      <c r="G87" s="255"/>
      <c r="H87" s="225" t="str">
        <f>IF('CE sintesi'!H87=0,"",'CE sintesi'!H87)</f>
        <v/>
      </c>
      <c r="I87" s="225" t="str">
        <f>IF('CE sintesi'!I87=0,"",'CE sintesi'!I87)</f>
        <v/>
      </c>
      <c r="J87" s="226" t="str">
        <f>IF('CE sintesi'!J87=0,"",'CE sintesi'!J87)</f>
        <v/>
      </c>
      <c r="K87" s="227" t="str">
        <f>IF('CE sintesi'!K87=0,"",'CE sintesi'!K87)</f>
        <v/>
      </c>
      <c r="L87" s="209"/>
      <c r="M87" s="228" t="str">
        <f>IF('CE sintesi'!M87=0,"",'CE sintesi'!M87)</f>
        <v/>
      </c>
    </row>
    <row r="88" spans="1:13" s="81" customFormat="1" ht="16.5" thickTop="1" thickBot="1">
      <c r="A88" s="258"/>
      <c r="B88" s="635" t="s">
        <v>2402</v>
      </c>
      <c r="C88" s="636"/>
      <c r="D88" s="636"/>
      <c r="E88" s="636"/>
      <c r="F88" s="636"/>
      <c r="G88" s="637"/>
      <c r="H88" s="262">
        <f>IF('CE sintesi'!H88=0,"",'CE sintesi'!H88)</f>
        <v>35617500</v>
      </c>
      <c r="I88" s="262">
        <f>IF('CE sintesi'!I88=0,"",'CE sintesi'!I88)</f>
        <v>55311206.930000067</v>
      </c>
      <c r="J88" s="263">
        <f>IF('CE sintesi'!J88=0,"",'CE sintesi'!J88)</f>
        <v>-19693706.930000067</v>
      </c>
      <c r="K88" s="264">
        <f>IF('CE sintesi'!K88=0,"",'CE sintesi'!K88)</f>
        <v>-0.3560527427095152</v>
      </c>
      <c r="L88" s="265"/>
      <c r="M88" s="266">
        <f>IF('CE sintesi'!M88=0,"",'CE sintesi'!M88)</f>
        <v>50838577.310000658</v>
      </c>
    </row>
    <row r="89" spans="1:13" s="81" customFormat="1" ht="15.75" thickTop="1">
      <c r="A89" s="258"/>
      <c r="B89" s="267"/>
      <c r="C89" s="268"/>
      <c r="D89" s="268"/>
      <c r="E89" s="269"/>
      <c r="F89" s="270"/>
      <c r="G89" s="271"/>
      <c r="H89" s="272" t="str">
        <f>IF('CE sintesi'!H89=0,"",'CE sintesi'!H89)</f>
        <v/>
      </c>
      <c r="I89" s="272" t="str">
        <f>IF('CE sintesi'!I89=0,"",'CE sintesi'!I89)</f>
        <v/>
      </c>
      <c r="J89" s="273" t="str">
        <f>IF('CE sintesi'!J89=0,"",'CE sintesi'!J89)</f>
        <v/>
      </c>
      <c r="K89" s="274" t="str">
        <f>IF('CE sintesi'!K89=0,"",'CE sintesi'!K89)</f>
        <v/>
      </c>
      <c r="L89" s="265"/>
      <c r="M89" s="275" t="str">
        <f>IF('CE sintesi'!M89=0,"",'CE sintesi'!M89)</f>
        <v/>
      </c>
    </row>
    <row r="90" spans="1:13" s="79" customFormat="1">
      <c r="A90" s="209"/>
      <c r="B90" s="215" t="s">
        <v>2262</v>
      </c>
      <c r="C90" s="630" t="s">
        <v>1482</v>
      </c>
      <c r="D90" s="630"/>
      <c r="E90" s="630"/>
      <c r="F90" s="630"/>
      <c r="G90" s="631"/>
      <c r="H90" s="217" t="str">
        <f>IF('CE sintesi'!H90=0,"",'CE sintesi'!H90)</f>
        <v/>
      </c>
      <c r="I90" s="217" t="str">
        <f>IF('CE sintesi'!I90=0,"",'CE sintesi'!I90)</f>
        <v/>
      </c>
      <c r="J90" s="218" t="str">
        <f>IF('CE sintesi'!J90=0,"",'CE sintesi'!J90)</f>
        <v/>
      </c>
      <c r="K90" s="219" t="str">
        <f>IF('CE sintesi'!K90=0,"",'CE sintesi'!K90)</f>
        <v/>
      </c>
      <c r="L90" s="214"/>
      <c r="M90" s="220" t="str">
        <f>IF('CE sintesi'!M90=0,"",'CE sintesi'!M90)</f>
        <v/>
      </c>
    </row>
    <row r="91" spans="1:13" s="79" customFormat="1">
      <c r="A91" s="209" t="s">
        <v>2912</v>
      </c>
      <c r="B91" s="240"/>
      <c r="C91" s="216" t="s">
        <v>2849</v>
      </c>
      <c r="D91" s="628" t="s">
        <v>2403</v>
      </c>
      <c r="E91" s="628"/>
      <c r="F91" s="628"/>
      <c r="G91" s="629"/>
      <c r="H91" s="217">
        <f>IF('CE sintesi'!H91=0,"",'CE sintesi'!H91)</f>
        <v>15000</v>
      </c>
      <c r="I91" s="217">
        <f>IF('CE sintesi'!I91=0,"",'CE sintesi'!I91)</f>
        <v>15032.77</v>
      </c>
      <c r="J91" s="218">
        <f>IF('CE sintesi'!J91=0,"",'CE sintesi'!J91)</f>
        <v>-32.770000000000437</v>
      </c>
      <c r="K91" s="219">
        <f>IF('CE sintesi'!K91=0,"",'CE sintesi'!K91)</f>
        <v>-2.1799043024007176E-3</v>
      </c>
      <c r="L91" s="214"/>
      <c r="M91" s="220">
        <f>IF('CE sintesi'!M91=0,"",'CE sintesi'!M91)</f>
        <v>19419.93</v>
      </c>
    </row>
    <row r="92" spans="1:13" s="79" customFormat="1">
      <c r="A92" s="209" t="s">
        <v>2914</v>
      </c>
      <c r="B92" s="240"/>
      <c r="C92" s="216" t="s">
        <v>2858</v>
      </c>
      <c r="D92" s="628" t="s">
        <v>2404</v>
      </c>
      <c r="E92" s="628"/>
      <c r="F92" s="628"/>
      <c r="G92" s="629"/>
      <c r="H92" s="217">
        <f>IF('CE sintesi'!H92=0,"",'CE sintesi'!H92)</f>
        <v>21000</v>
      </c>
      <c r="I92" s="217">
        <f>IF('CE sintesi'!I92=0,"",'CE sintesi'!I92)</f>
        <v>69000</v>
      </c>
      <c r="J92" s="218">
        <f>IF('CE sintesi'!J92=0,"",'CE sintesi'!J92)</f>
        <v>-48000</v>
      </c>
      <c r="K92" s="219">
        <f>IF('CE sintesi'!K92=0,"",'CE sintesi'!K92)</f>
        <v>-0.69565217391304346</v>
      </c>
      <c r="L92" s="214"/>
      <c r="M92" s="220">
        <f>IF('CE sintesi'!M92=0,"",'CE sintesi'!M92)</f>
        <v>87181.750000000015</v>
      </c>
    </row>
    <row r="93" spans="1:13" s="79" customFormat="1">
      <c r="A93" s="209"/>
      <c r="B93" s="241"/>
      <c r="C93" s="242" t="s">
        <v>2405</v>
      </c>
      <c r="D93" s="242"/>
      <c r="E93" s="242"/>
      <c r="F93" s="242"/>
      <c r="G93" s="243"/>
      <c r="H93" s="244">
        <f>IF('CE sintesi'!H93=0,"",'CE sintesi'!H93)</f>
        <v>-6000</v>
      </c>
      <c r="I93" s="244">
        <f>IF('CE sintesi'!I93=0,"",'CE sintesi'!I93)</f>
        <v>-53967.229999999996</v>
      </c>
      <c r="J93" s="245">
        <f>IF('CE sintesi'!J93=0,"",'CE sintesi'!J93)</f>
        <v>47967.229999999996</v>
      </c>
      <c r="K93" s="246">
        <f>IF('CE sintesi'!K93=0,"",'CE sintesi'!K93)</f>
        <v>-0.88882141996170638</v>
      </c>
      <c r="L93" s="214"/>
      <c r="M93" s="247">
        <f>IF('CE sintesi'!M93=0,"",'CE sintesi'!M93)</f>
        <v>-67761.820000000007</v>
      </c>
    </row>
    <row r="94" spans="1:13" s="55" customFormat="1">
      <c r="A94" s="209"/>
      <c r="B94" s="248"/>
      <c r="C94" s="222"/>
      <c r="D94" s="254"/>
      <c r="E94" s="249"/>
      <c r="F94" s="254"/>
      <c r="G94" s="255"/>
      <c r="H94" s="225" t="str">
        <f>IF('CE sintesi'!H94=0,"",'CE sintesi'!H94)</f>
        <v/>
      </c>
      <c r="I94" s="225" t="str">
        <f>IF('CE sintesi'!I94=0,"",'CE sintesi'!I94)</f>
        <v/>
      </c>
      <c r="J94" s="226" t="str">
        <f>IF('CE sintesi'!J94=0,"",'CE sintesi'!J94)</f>
        <v/>
      </c>
      <c r="K94" s="227" t="str">
        <f>IF('CE sintesi'!K94=0,"",'CE sintesi'!K94)</f>
        <v/>
      </c>
      <c r="L94" s="209"/>
      <c r="M94" s="228" t="str">
        <f>IF('CE sintesi'!M94=0,"",'CE sintesi'!M94)</f>
        <v/>
      </c>
    </row>
    <row r="95" spans="1:13" s="79" customFormat="1">
      <c r="A95" s="209"/>
      <c r="B95" s="215" t="s">
        <v>2363</v>
      </c>
      <c r="C95" s="630" t="s">
        <v>1484</v>
      </c>
      <c r="D95" s="630"/>
      <c r="E95" s="630"/>
      <c r="F95" s="630"/>
      <c r="G95" s="631"/>
      <c r="H95" s="217" t="str">
        <f>IF('CE sintesi'!H95=0,"",'CE sintesi'!H95)</f>
        <v/>
      </c>
      <c r="I95" s="217" t="str">
        <f>IF('CE sintesi'!I95=0,"",'CE sintesi'!I95)</f>
        <v/>
      </c>
      <c r="J95" s="218" t="str">
        <f>IF('CE sintesi'!J95=0,"",'CE sintesi'!J95)</f>
        <v/>
      </c>
      <c r="K95" s="219" t="str">
        <f>IF('CE sintesi'!K95=0,"",'CE sintesi'!K95)</f>
        <v/>
      </c>
      <c r="L95" s="214"/>
      <c r="M95" s="220" t="str">
        <f>IF('CE sintesi'!M95=0,"",'CE sintesi'!M95)</f>
        <v/>
      </c>
    </row>
    <row r="96" spans="1:13" s="79" customFormat="1">
      <c r="A96" s="209" t="s">
        <v>771</v>
      </c>
      <c r="B96" s="240"/>
      <c r="C96" s="216" t="s">
        <v>2849</v>
      </c>
      <c r="D96" s="628" t="s">
        <v>1486</v>
      </c>
      <c r="E96" s="628"/>
      <c r="F96" s="628"/>
      <c r="G96" s="629"/>
      <c r="H96" s="217" t="str">
        <f>IF('CE sintesi'!H96=0,"",'CE sintesi'!H96)</f>
        <v/>
      </c>
      <c r="I96" s="217" t="str">
        <f>IF('CE sintesi'!I96=0,"",'CE sintesi'!I96)</f>
        <v/>
      </c>
      <c r="J96" s="218" t="str">
        <f>IF('CE sintesi'!J96=0,"",'CE sintesi'!J96)</f>
        <v/>
      </c>
      <c r="K96" s="219" t="str">
        <f>IF('CE sintesi'!K96=0,"",'CE sintesi'!K96)</f>
        <v xml:space="preserve">-    </v>
      </c>
      <c r="L96" s="214"/>
      <c r="M96" s="220">
        <f>IF('CE sintesi'!M96=0,"",'CE sintesi'!M96)</f>
        <v>6503.01</v>
      </c>
    </row>
    <row r="97" spans="1:13" s="79" customFormat="1">
      <c r="A97" s="209" t="s">
        <v>1798</v>
      </c>
      <c r="B97" s="240"/>
      <c r="C97" s="216" t="s">
        <v>2858</v>
      </c>
      <c r="D97" s="628" t="s">
        <v>1487</v>
      </c>
      <c r="E97" s="628"/>
      <c r="F97" s="628"/>
      <c r="G97" s="629"/>
      <c r="H97" s="217" t="str">
        <f>IF('CE sintesi'!H97=0,"",'CE sintesi'!H97)</f>
        <v/>
      </c>
      <c r="I97" s="217" t="str">
        <f>IF('CE sintesi'!I97=0,"",'CE sintesi'!I97)</f>
        <v/>
      </c>
      <c r="J97" s="218" t="str">
        <f>IF('CE sintesi'!J97=0,"",'CE sintesi'!J97)</f>
        <v/>
      </c>
      <c r="K97" s="219" t="str">
        <f>IF('CE sintesi'!K97=0,"",'CE sintesi'!K97)</f>
        <v xml:space="preserve">-    </v>
      </c>
      <c r="L97" s="214"/>
      <c r="M97" s="220" t="str">
        <f>IF('CE sintesi'!M97=0,"",'CE sintesi'!M97)</f>
        <v/>
      </c>
    </row>
    <row r="98" spans="1:13" s="79" customFormat="1">
      <c r="A98" s="209"/>
      <c r="B98" s="241"/>
      <c r="C98" s="242" t="s">
        <v>2406</v>
      </c>
      <c r="D98" s="242"/>
      <c r="E98" s="242"/>
      <c r="F98" s="242"/>
      <c r="G98" s="243"/>
      <c r="H98" s="244" t="str">
        <f>IF('CE sintesi'!H98=0,"",'CE sintesi'!H98)</f>
        <v/>
      </c>
      <c r="I98" s="244" t="str">
        <f>IF('CE sintesi'!I98=0,"",'CE sintesi'!I98)</f>
        <v/>
      </c>
      <c r="J98" s="245" t="str">
        <f>IF('CE sintesi'!J98=0,"",'CE sintesi'!J98)</f>
        <v/>
      </c>
      <c r="K98" s="246" t="str">
        <f>IF('CE sintesi'!K98=0,"",'CE sintesi'!K98)</f>
        <v xml:space="preserve">-    </v>
      </c>
      <c r="L98" s="214"/>
      <c r="M98" s="247">
        <f>IF('CE sintesi'!M98=0,"",'CE sintesi'!M98)</f>
        <v>6503.01</v>
      </c>
    </row>
    <row r="99" spans="1:13" s="55" customFormat="1">
      <c r="A99" s="209"/>
      <c r="B99" s="248"/>
      <c r="C99" s="222"/>
      <c r="D99" s="251"/>
      <c r="E99" s="249"/>
      <c r="F99" s="223"/>
      <c r="G99" s="224"/>
      <c r="H99" s="225" t="str">
        <f>IF('CE sintesi'!H99=0,"",'CE sintesi'!H99)</f>
        <v/>
      </c>
      <c r="I99" s="225" t="str">
        <f>IF('CE sintesi'!I99=0,"",'CE sintesi'!I99)</f>
        <v/>
      </c>
      <c r="J99" s="226" t="str">
        <f>IF('CE sintesi'!J99=0,"",'CE sintesi'!J99)</f>
        <v/>
      </c>
      <c r="K99" s="227" t="str">
        <f>IF('CE sintesi'!K99=0,"",'CE sintesi'!K99)</f>
        <v/>
      </c>
      <c r="L99" s="209"/>
      <c r="M99" s="228" t="str">
        <f>IF('CE sintesi'!M99=0,"",'CE sintesi'!M99)</f>
        <v/>
      </c>
    </row>
    <row r="100" spans="1:13" s="79" customFormat="1">
      <c r="A100" s="209"/>
      <c r="B100" s="215" t="s">
        <v>1488</v>
      </c>
      <c r="C100" s="630" t="s">
        <v>1489</v>
      </c>
      <c r="D100" s="630"/>
      <c r="E100" s="630"/>
      <c r="F100" s="630"/>
      <c r="G100" s="631"/>
      <c r="H100" s="217" t="str">
        <f>IF('CE sintesi'!H100=0,"",'CE sintesi'!H100)</f>
        <v/>
      </c>
      <c r="I100" s="217" t="str">
        <f>IF('CE sintesi'!I100=0,"",'CE sintesi'!I100)</f>
        <v/>
      </c>
      <c r="J100" s="218" t="str">
        <f>IF('CE sintesi'!J100=0,"",'CE sintesi'!J100)</f>
        <v/>
      </c>
      <c r="K100" s="219" t="str">
        <f>IF('CE sintesi'!K100=0,"",'CE sintesi'!K100)</f>
        <v/>
      </c>
      <c r="L100" s="214"/>
      <c r="M100" s="220" t="str">
        <f>IF('CE sintesi'!M100=0,"",'CE sintesi'!M100)</f>
        <v/>
      </c>
    </row>
    <row r="101" spans="1:13" s="79" customFormat="1">
      <c r="A101" s="209"/>
      <c r="B101" s="240"/>
      <c r="C101" s="216" t="s">
        <v>2849</v>
      </c>
      <c r="D101" s="628" t="s">
        <v>2407</v>
      </c>
      <c r="E101" s="628"/>
      <c r="F101" s="628"/>
      <c r="G101" s="629"/>
      <c r="H101" s="217">
        <f>IF('CE sintesi'!H101=0,"",'CE sintesi'!H101)</f>
        <v>5010000</v>
      </c>
      <c r="I101" s="217">
        <f>IF('CE sintesi'!I101=0,"",'CE sintesi'!I101)</f>
        <v>7468474.8800000008</v>
      </c>
      <c r="J101" s="218">
        <f>IF('CE sintesi'!J101=0,"",'CE sintesi'!J101)</f>
        <v>-2458474.8800000008</v>
      </c>
      <c r="K101" s="219">
        <f>IF('CE sintesi'!K101=0,"",'CE sintesi'!K101)</f>
        <v>-0.32918031050537599</v>
      </c>
      <c r="L101" s="214"/>
      <c r="M101" s="220">
        <f>IF('CE sintesi'!M101=0,"",'CE sintesi'!M101)</f>
        <v>11097671.699999999</v>
      </c>
    </row>
    <row r="102" spans="1:13" s="55" customFormat="1" hidden="1" outlineLevel="1">
      <c r="A102" s="209" t="s">
        <v>2</v>
      </c>
      <c r="B102" s="248"/>
      <c r="C102" s="250"/>
      <c r="D102" s="254"/>
      <c r="E102" s="222" t="s">
        <v>2851</v>
      </c>
      <c r="F102" s="625" t="s">
        <v>2408</v>
      </c>
      <c r="G102" s="626"/>
      <c r="H102" s="225" t="str">
        <f>IF('CE sintesi'!H102=0,"",'CE sintesi'!H102)</f>
        <v/>
      </c>
      <c r="I102" s="225" t="str">
        <f>IF('CE sintesi'!I102=0,"",'CE sintesi'!I102)</f>
        <v/>
      </c>
      <c r="J102" s="226" t="str">
        <f>IF('CE sintesi'!J102=0,"",'CE sintesi'!J102)</f>
        <v/>
      </c>
      <c r="K102" s="227" t="str">
        <f>IF('CE sintesi'!K102=0,"",'CE sintesi'!K102)</f>
        <v xml:space="preserve">-    </v>
      </c>
      <c r="L102" s="209"/>
      <c r="M102" s="228" t="str">
        <f>IF('CE sintesi'!M102=0,"",'CE sintesi'!M102)</f>
        <v/>
      </c>
    </row>
    <row r="103" spans="1:13" s="55" customFormat="1" hidden="1" outlineLevel="1">
      <c r="A103" s="209" t="s">
        <v>740</v>
      </c>
      <c r="B103" s="248"/>
      <c r="C103" s="250"/>
      <c r="D103" s="254"/>
      <c r="E103" s="222" t="s">
        <v>2853</v>
      </c>
      <c r="F103" s="625" t="s">
        <v>2409</v>
      </c>
      <c r="G103" s="626"/>
      <c r="H103" s="225">
        <f>IF('CE sintesi'!H103=0,"",'CE sintesi'!H103)</f>
        <v>5010000</v>
      </c>
      <c r="I103" s="225">
        <f>IF('CE sintesi'!I103=0,"",'CE sintesi'!I103)</f>
        <v>7468474.8800000008</v>
      </c>
      <c r="J103" s="226">
        <f>IF('CE sintesi'!J103=0,"",'CE sintesi'!J103)</f>
        <v>-2458474.8800000008</v>
      </c>
      <c r="K103" s="227">
        <f>IF('CE sintesi'!K103=0,"",'CE sintesi'!K103)</f>
        <v>-0.32918031050537599</v>
      </c>
      <c r="L103" s="209"/>
      <c r="M103" s="228">
        <f>IF('CE sintesi'!M103=0,"",'CE sintesi'!M103)</f>
        <v>11097671.699999999</v>
      </c>
    </row>
    <row r="104" spans="1:13" s="79" customFormat="1" collapsed="1">
      <c r="A104" s="209"/>
      <c r="B104" s="240"/>
      <c r="C104" s="216" t="s">
        <v>2858</v>
      </c>
      <c r="D104" s="628" t="s">
        <v>2410</v>
      </c>
      <c r="E104" s="628"/>
      <c r="F104" s="628"/>
      <c r="G104" s="629"/>
      <c r="H104" s="217">
        <f>IF('CE sintesi'!H104=0,"",'CE sintesi'!H104)</f>
        <v>152500</v>
      </c>
      <c r="I104" s="217">
        <f>IF('CE sintesi'!I104=0,"",'CE sintesi'!I104)</f>
        <v>680154.14</v>
      </c>
      <c r="J104" s="218">
        <f>IF('CE sintesi'!J104=0,"",'CE sintesi'!J104)</f>
        <v>-527654.14</v>
      </c>
      <c r="K104" s="219">
        <f>IF('CE sintesi'!K104=0,"",'CE sintesi'!K104)</f>
        <v>-0.77578611812904641</v>
      </c>
      <c r="L104" s="214"/>
      <c r="M104" s="220">
        <f>IF('CE sintesi'!M104=0,"",'CE sintesi'!M104)</f>
        <v>4731051.8200000012</v>
      </c>
    </row>
    <row r="105" spans="1:13" s="55" customFormat="1" hidden="1" outlineLevel="1">
      <c r="A105" s="209" t="s">
        <v>1821</v>
      </c>
      <c r="B105" s="248"/>
      <c r="C105" s="250"/>
      <c r="D105" s="254"/>
      <c r="E105" s="222" t="s">
        <v>2851</v>
      </c>
      <c r="F105" s="625" t="s">
        <v>2411</v>
      </c>
      <c r="G105" s="626"/>
      <c r="H105" s="225">
        <f>IF('CE sintesi'!H105=0,"",'CE sintesi'!H105)</f>
        <v>52000</v>
      </c>
      <c r="I105" s="225">
        <f>IF('CE sintesi'!I105=0,"",'CE sintesi'!I105)</f>
        <v>52000</v>
      </c>
      <c r="J105" s="226" t="str">
        <f>IF('CE sintesi'!J105=0,"",'CE sintesi'!J105)</f>
        <v/>
      </c>
      <c r="K105" s="227" t="str">
        <f>IF('CE sintesi'!K105=0,"",'CE sintesi'!K105)</f>
        <v/>
      </c>
      <c r="L105" s="209"/>
      <c r="M105" s="228">
        <f>IF('CE sintesi'!M105=0,"",'CE sintesi'!M105)</f>
        <v>51769.03</v>
      </c>
    </row>
    <row r="106" spans="1:13" s="55" customFormat="1" hidden="1" outlineLevel="1">
      <c r="A106" s="209" t="s">
        <v>1775</v>
      </c>
      <c r="B106" s="248"/>
      <c r="C106" s="250"/>
      <c r="D106" s="254"/>
      <c r="E106" s="222" t="s">
        <v>2853</v>
      </c>
      <c r="F106" s="625" t="s">
        <v>2412</v>
      </c>
      <c r="G106" s="626"/>
      <c r="H106" s="225">
        <f>IF('CE sintesi'!H106=0,"",'CE sintesi'!H106)</f>
        <v>100500</v>
      </c>
      <c r="I106" s="225">
        <f>IF('CE sintesi'!I106=0,"",'CE sintesi'!I106)</f>
        <v>628154.14</v>
      </c>
      <c r="J106" s="226">
        <f>IF('CE sintesi'!J106=0,"",'CE sintesi'!J106)</f>
        <v>-527654.14</v>
      </c>
      <c r="K106" s="227">
        <f>IF('CE sintesi'!K106=0,"",'CE sintesi'!K106)</f>
        <v>-0.84000742238202875</v>
      </c>
      <c r="L106" s="209"/>
      <c r="M106" s="228">
        <f>IF('CE sintesi'!M106=0,"",'CE sintesi'!M106)</f>
        <v>4679282.790000001</v>
      </c>
    </row>
    <row r="107" spans="1:13" s="79" customFormat="1" collapsed="1">
      <c r="A107" s="209"/>
      <c r="B107" s="241"/>
      <c r="C107" s="242" t="s">
        <v>2413</v>
      </c>
      <c r="D107" s="242"/>
      <c r="E107" s="242"/>
      <c r="F107" s="242"/>
      <c r="G107" s="243"/>
      <c r="H107" s="244">
        <f>IF('CE sintesi'!H107=0,"",'CE sintesi'!H107)</f>
        <v>4857500</v>
      </c>
      <c r="I107" s="244">
        <f>IF('CE sintesi'!I107=0,"",'CE sintesi'!I107)</f>
        <v>6788320.7400000012</v>
      </c>
      <c r="J107" s="245">
        <f>IF('CE sintesi'!J107=0,"",'CE sintesi'!J107)</f>
        <v>-1930820.7400000012</v>
      </c>
      <c r="K107" s="246">
        <f>IF('CE sintesi'!K107=0,"",'CE sintesi'!K107)</f>
        <v>-0.28443275059510531</v>
      </c>
      <c r="L107" s="214"/>
      <c r="M107" s="247">
        <f>IF('CE sintesi'!M107=0,"",'CE sintesi'!M107)</f>
        <v>6366619.879999998</v>
      </c>
    </row>
    <row r="108" spans="1:13" s="55" customFormat="1" ht="15.75" thickBot="1">
      <c r="A108" s="209"/>
      <c r="B108" s="257"/>
      <c r="C108" s="222"/>
      <c r="D108" s="254"/>
      <c r="E108" s="251"/>
      <c r="F108" s="254"/>
      <c r="G108" s="255"/>
      <c r="H108" s="225" t="str">
        <f>IF('CE sintesi'!H108=0,"",'CE sintesi'!H108)</f>
        <v/>
      </c>
      <c r="I108" s="225" t="str">
        <f>IF('CE sintesi'!I108=0,"",'CE sintesi'!I108)</f>
        <v/>
      </c>
      <c r="J108" s="226" t="str">
        <f>IF('CE sintesi'!J108=0,"",'CE sintesi'!J108)</f>
        <v/>
      </c>
      <c r="K108" s="227" t="str">
        <f>IF('CE sintesi'!K108=0,"",'CE sintesi'!K108)</f>
        <v/>
      </c>
      <c r="L108" s="209"/>
      <c r="M108" s="228" t="str">
        <f>IF('CE sintesi'!M108=0,"",'CE sintesi'!M108)</f>
        <v/>
      </c>
    </row>
    <row r="109" spans="1:13" s="81" customFormat="1" ht="16.5" thickTop="1" thickBot="1">
      <c r="A109" s="258"/>
      <c r="B109" s="259" t="s">
        <v>2414</v>
      </c>
      <c r="C109" s="260"/>
      <c r="D109" s="260"/>
      <c r="E109" s="260"/>
      <c r="F109" s="260"/>
      <c r="G109" s="261"/>
      <c r="H109" s="262">
        <f>IF('CE sintesi'!H109=0,"",'CE sintesi'!H109)</f>
        <v>40469000</v>
      </c>
      <c r="I109" s="262">
        <f>IF('CE sintesi'!I109=0,"",'CE sintesi'!I109)</f>
        <v>62045560.440000072</v>
      </c>
      <c r="J109" s="263">
        <f>IF('CE sintesi'!J109=0,"",'CE sintesi'!J109)</f>
        <v>-21576560.440000072</v>
      </c>
      <c r="K109" s="264">
        <f>IF('CE sintesi'!K109=0,"",'CE sintesi'!K109)</f>
        <v>-0.34775349415797857</v>
      </c>
      <c r="L109" s="265"/>
      <c r="M109" s="266">
        <f>IF('CE sintesi'!M109=0,"",'CE sintesi'!M109)</f>
        <v>57143938.380000651</v>
      </c>
    </row>
    <row r="110" spans="1:13" s="81" customFormat="1" ht="15.75" thickTop="1">
      <c r="A110" s="258"/>
      <c r="B110" s="267"/>
      <c r="C110" s="268"/>
      <c r="D110" s="268"/>
      <c r="E110" s="269"/>
      <c r="F110" s="270"/>
      <c r="G110" s="271"/>
      <c r="H110" s="272" t="str">
        <f>IF('CE sintesi'!H110=0,"",'CE sintesi'!H110)</f>
        <v/>
      </c>
      <c r="I110" s="272" t="str">
        <f>IF('CE sintesi'!I110=0,"",'CE sintesi'!I110)</f>
        <v/>
      </c>
      <c r="J110" s="273" t="str">
        <f>IF('CE sintesi'!J110=0,"",'CE sintesi'!J110)</f>
        <v/>
      </c>
      <c r="K110" s="274" t="str">
        <f>IF('CE sintesi'!K110=0,"",'CE sintesi'!K110)</f>
        <v/>
      </c>
      <c r="L110" s="265"/>
      <c r="M110" s="275" t="str">
        <f>IF('CE sintesi'!M110=0,"",'CE sintesi'!M110)</f>
        <v/>
      </c>
    </row>
    <row r="111" spans="1:13" s="79" customFormat="1">
      <c r="A111" s="209"/>
      <c r="B111" s="215" t="s">
        <v>2922</v>
      </c>
      <c r="C111" s="630" t="s">
        <v>2415</v>
      </c>
      <c r="D111" s="630"/>
      <c r="E111" s="630"/>
      <c r="F111" s="630"/>
      <c r="G111" s="631"/>
      <c r="H111" s="217" t="str">
        <f>IF('CE sintesi'!H111=0,"",'CE sintesi'!H111)</f>
        <v/>
      </c>
      <c r="I111" s="217" t="str">
        <f>IF('CE sintesi'!I111=0,"",'CE sintesi'!I111)</f>
        <v/>
      </c>
      <c r="J111" s="218" t="str">
        <f>IF('CE sintesi'!J111=0,"",'CE sintesi'!J111)</f>
        <v/>
      </c>
      <c r="K111" s="219" t="str">
        <f>IF('CE sintesi'!K111=0,"",'CE sintesi'!K111)</f>
        <v/>
      </c>
      <c r="L111" s="214"/>
      <c r="M111" s="220" t="str">
        <f>IF('CE sintesi'!M111=0,"",'CE sintesi'!M111)</f>
        <v/>
      </c>
    </row>
    <row r="112" spans="1:13" s="79" customFormat="1">
      <c r="A112" s="209"/>
      <c r="B112" s="240"/>
      <c r="C112" s="216" t="s">
        <v>2849</v>
      </c>
      <c r="D112" s="628" t="s">
        <v>1840</v>
      </c>
      <c r="E112" s="628"/>
      <c r="F112" s="628"/>
      <c r="G112" s="629"/>
      <c r="H112" s="217">
        <f>IF('CE sintesi'!H112=0,"",'CE sintesi'!H112)</f>
        <v>40469000</v>
      </c>
      <c r="I112" s="217">
        <f>IF('CE sintesi'!I112=0,"",'CE sintesi'!I112)</f>
        <v>40354000</v>
      </c>
      <c r="J112" s="218">
        <f>IF('CE sintesi'!J112=0,"",'CE sintesi'!J112)</f>
        <v>115000</v>
      </c>
      <c r="K112" s="219">
        <f>IF('CE sintesi'!K112=0,"",'CE sintesi'!K112)</f>
        <v>2.8497794518511175E-3</v>
      </c>
      <c r="L112" s="214"/>
      <c r="M112" s="220">
        <f>IF('CE sintesi'!M112=0,"",'CE sintesi'!M112)</f>
        <v>39522914.770000003</v>
      </c>
    </row>
    <row r="113" spans="1:13" s="55" customFormat="1" hidden="1" outlineLevel="1">
      <c r="A113" s="209" t="s">
        <v>2924</v>
      </c>
      <c r="B113" s="257"/>
      <c r="C113" s="250"/>
      <c r="D113" s="254"/>
      <c r="E113" s="222" t="s">
        <v>2851</v>
      </c>
      <c r="F113" s="625" t="s">
        <v>2416</v>
      </c>
      <c r="G113" s="626"/>
      <c r="H113" s="225">
        <f>IF('CE sintesi'!H113=0,"",'CE sintesi'!H113)</f>
        <v>40115000</v>
      </c>
      <c r="I113" s="225">
        <f>IF('CE sintesi'!I113=0,"",'CE sintesi'!I113)</f>
        <v>40000000</v>
      </c>
      <c r="J113" s="226">
        <f>IF('CE sintesi'!J113=0,"",'CE sintesi'!J113)</f>
        <v>115000</v>
      </c>
      <c r="K113" s="227">
        <f>IF('CE sintesi'!K113=0,"",'CE sintesi'!K113)</f>
        <v>2.875E-3</v>
      </c>
      <c r="L113" s="209"/>
      <c r="M113" s="228">
        <f>IF('CE sintesi'!M113=0,"",'CE sintesi'!M113)</f>
        <v>39178373.280000001</v>
      </c>
    </row>
    <row r="114" spans="1:13" s="55" customFormat="1" ht="30" hidden="1" customHeight="1" outlineLevel="1">
      <c r="A114" s="209" t="s">
        <v>2925</v>
      </c>
      <c r="B114" s="257"/>
      <c r="C114" s="250"/>
      <c r="D114" s="254"/>
      <c r="E114" s="222" t="s">
        <v>2853</v>
      </c>
      <c r="F114" s="625" t="s">
        <v>2417</v>
      </c>
      <c r="G114" s="626"/>
      <c r="H114" s="225">
        <f>IF('CE sintesi'!H114=0,"",'CE sintesi'!H114)</f>
        <v>202000</v>
      </c>
      <c r="I114" s="225">
        <f>IF('CE sintesi'!I114=0,"",'CE sintesi'!I114)</f>
        <v>202000</v>
      </c>
      <c r="J114" s="226" t="str">
        <f>IF('CE sintesi'!J114=0,"",'CE sintesi'!J114)</f>
        <v/>
      </c>
      <c r="K114" s="227" t="str">
        <f>IF('CE sintesi'!K114=0,"",'CE sintesi'!K114)</f>
        <v/>
      </c>
      <c r="L114" s="209"/>
      <c r="M114" s="228">
        <f>IF('CE sintesi'!M114=0,"",'CE sintesi'!M114)</f>
        <v>193752.25</v>
      </c>
    </row>
    <row r="115" spans="1:13" s="55" customFormat="1" hidden="1" outlineLevel="1">
      <c r="A115" s="209" t="s">
        <v>2926</v>
      </c>
      <c r="B115" s="257"/>
      <c r="C115" s="250"/>
      <c r="D115" s="254"/>
      <c r="E115" s="222" t="s">
        <v>3542</v>
      </c>
      <c r="F115" s="625" t="s">
        <v>2418</v>
      </c>
      <c r="G115" s="626"/>
      <c r="H115" s="225">
        <f>IF('CE sintesi'!H115=0,"",'CE sintesi'!H115)</f>
        <v>152000</v>
      </c>
      <c r="I115" s="225">
        <f>IF('CE sintesi'!I115=0,"",'CE sintesi'!I115)</f>
        <v>152000</v>
      </c>
      <c r="J115" s="226" t="str">
        <f>IF('CE sintesi'!J115=0,"",'CE sintesi'!J115)</f>
        <v/>
      </c>
      <c r="K115" s="227" t="str">
        <f>IF('CE sintesi'!K115=0,"",'CE sintesi'!K115)</f>
        <v/>
      </c>
      <c r="L115" s="209"/>
      <c r="M115" s="228">
        <f>IF('CE sintesi'!M115=0,"",'CE sintesi'!M115)</f>
        <v>150789.24</v>
      </c>
    </row>
    <row r="116" spans="1:13" s="55" customFormat="1" hidden="1" outlineLevel="1">
      <c r="A116" s="209" t="s">
        <v>2927</v>
      </c>
      <c r="B116" s="257"/>
      <c r="C116" s="250"/>
      <c r="D116" s="254"/>
      <c r="E116" s="222" t="s">
        <v>3550</v>
      </c>
      <c r="F116" s="625" t="s">
        <v>2419</v>
      </c>
      <c r="G116" s="626"/>
      <c r="H116" s="225" t="str">
        <f>IF('CE sintesi'!H116=0,"",'CE sintesi'!H116)</f>
        <v/>
      </c>
      <c r="I116" s="225" t="str">
        <f>IF('CE sintesi'!I116=0,"",'CE sintesi'!I116)</f>
        <v/>
      </c>
      <c r="J116" s="226" t="str">
        <f>IF('CE sintesi'!J116=0,"",'CE sintesi'!J116)</f>
        <v/>
      </c>
      <c r="K116" s="227" t="str">
        <f>IF('CE sintesi'!K116=0,"",'CE sintesi'!K116)</f>
        <v xml:space="preserve">-    </v>
      </c>
      <c r="L116" s="209"/>
      <c r="M116" s="228" t="str">
        <f>IF('CE sintesi'!M116=0,"",'CE sintesi'!M116)</f>
        <v/>
      </c>
    </row>
    <row r="117" spans="1:13" s="79" customFormat="1" collapsed="1">
      <c r="A117" s="209" t="s">
        <v>2928</v>
      </c>
      <c r="B117" s="240"/>
      <c r="C117" s="216" t="s">
        <v>2858</v>
      </c>
      <c r="D117" s="628" t="s">
        <v>1827</v>
      </c>
      <c r="E117" s="628"/>
      <c r="F117" s="628"/>
      <c r="G117" s="629"/>
      <c r="H117" s="217" t="str">
        <f>IF('CE sintesi'!H117=0,"",'CE sintesi'!H117)</f>
        <v/>
      </c>
      <c r="I117" s="217" t="str">
        <f>IF('CE sintesi'!I117=0,"",'CE sintesi'!I117)</f>
        <v/>
      </c>
      <c r="J117" s="218" t="str">
        <f>IF('CE sintesi'!J117=0,"",'CE sintesi'!J117)</f>
        <v/>
      </c>
      <c r="K117" s="219" t="str">
        <f>IF('CE sintesi'!K117=0,"",'CE sintesi'!K117)</f>
        <v xml:space="preserve">-    </v>
      </c>
      <c r="L117" s="214"/>
      <c r="M117" s="220" t="str">
        <f>IF('CE sintesi'!M117=0,"",'CE sintesi'!M117)</f>
        <v/>
      </c>
    </row>
    <row r="118" spans="1:13" s="79" customFormat="1" ht="30" customHeight="1">
      <c r="A118" s="209" t="s">
        <v>1072</v>
      </c>
      <c r="B118" s="240"/>
      <c r="C118" s="216" t="s">
        <v>2861</v>
      </c>
      <c r="D118" s="628" t="s">
        <v>2420</v>
      </c>
      <c r="E118" s="628"/>
      <c r="F118" s="628"/>
      <c r="G118" s="629"/>
      <c r="H118" s="217" t="str">
        <f>IF('CE sintesi'!H118=0,"",'CE sintesi'!H118)</f>
        <v/>
      </c>
      <c r="I118" s="217" t="str">
        <f>IF('CE sintesi'!I118=0,"",'CE sintesi'!I118)</f>
        <v/>
      </c>
      <c r="J118" s="218" t="str">
        <f>IF('CE sintesi'!J118=0,"",'CE sintesi'!J118)</f>
        <v/>
      </c>
      <c r="K118" s="219" t="str">
        <f>IF('CE sintesi'!K118=0,"",'CE sintesi'!K118)</f>
        <v xml:space="preserve">-    </v>
      </c>
      <c r="L118" s="214"/>
      <c r="M118" s="220" t="str">
        <f>IF('CE sintesi'!M118=0,"",'CE sintesi'!M118)</f>
        <v/>
      </c>
    </row>
    <row r="119" spans="1:13" s="79" customFormat="1">
      <c r="A119" s="209"/>
      <c r="B119" s="241"/>
      <c r="C119" s="242" t="s">
        <v>2421</v>
      </c>
      <c r="D119" s="242"/>
      <c r="E119" s="242"/>
      <c r="F119" s="242"/>
      <c r="G119" s="243"/>
      <c r="H119" s="244">
        <f>IF('CE sintesi'!H119=0,"",'CE sintesi'!H119)</f>
        <v>40469000</v>
      </c>
      <c r="I119" s="244">
        <f>IF('CE sintesi'!I119=0,"",'CE sintesi'!I119)</f>
        <v>40354000</v>
      </c>
      <c r="J119" s="245">
        <f>IF('CE sintesi'!J119=0,"",'CE sintesi'!J119)</f>
        <v>115000</v>
      </c>
      <c r="K119" s="246">
        <f>IF('CE sintesi'!K119=0,"",'CE sintesi'!K119)</f>
        <v>2.8497794518511175E-3</v>
      </c>
      <c r="L119" s="214"/>
      <c r="M119" s="247">
        <f>IF('CE sintesi'!M119=0,"",'CE sintesi'!M119)</f>
        <v>39522914.770000003</v>
      </c>
    </row>
    <row r="120" spans="1:13" s="55" customFormat="1">
      <c r="A120" s="209"/>
      <c r="B120" s="257"/>
      <c r="C120" s="222"/>
      <c r="D120" s="254"/>
      <c r="E120" s="251"/>
      <c r="F120" s="254"/>
      <c r="G120" s="255"/>
      <c r="H120" s="225" t="str">
        <f>IF('CE sintesi'!H120=0,"",'CE sintesi'!H120)</f>
        <v/>
      </c>
      <c r="I120" s="225" t="str">
        <f>IF('CE sintesi'!I120=0,"",'CE sintesi'!I120)</f>
        <v/>
      </c>
      <c r="J120" s="226" t="str">
        <f>IF('CE sintesi'!J120=0,"",'CE sintesi'!J120)</f>
        <v/>
      </c>
      <c r="K120" s="227" t="str">
        <f>IF('CE sintesi'!K120=0,"",'CE sintesi'!K120)</f>
        <v/>
      </c>
      <c r="L120" s="209"/>
      <c r="M120" s="228" t="str">
        <f>IF('CE sintesi'!M120=0,"",'CE sintesi'!M120)</f>
        <v/>
      </c>
    </row>
    <row r="121" spans="1:13" s="81" customFormat="1" ht="15.75" thickBot="1">
      <c r="A121" s="258"/>
      <c r="B121" s="276" t="s">
        <v>2422</v>
      </c>
      <c r="C121" s="277"/>
      <c r="D121" s="278"/>
      <c r="E121" s="277"/>
      <c r="F121" s="279"/>
      <c r="G121" s="280"/>
      <c r="H121" s="281" t="str">
        <f>IF('CE sintesi'!H121=0,"",'CE sintesi'!H121)</f>
        <v/>
      </c>
      <c r="I121" s="281">
        <f>IF('CE sintesi'!I121=0,"",'CE sintesi'!I121)</f>
        <v>21691560.440000072</v>
      </c>
      <c r="J121" s="282">
        <f>IF('CE sintesi'!J121=0,"",'CE sintesi'!J121)</f>
        <v>-21691560.440000072</v>
      </c>
      <c r="K121" s="283">
        <f>IF('CE sintesi'!K121=0,"",'CE sintesi'!K121)</f>
        <v>-1</v>
      </c>
      <c r="L121" s="265"/>
      <c r="M121" s="220">
        <f>IF('CE sintesi'!M121=0,"",'CE sintesi'!M121)</f>
        <v>17621023.610000648</v>
      </c>
    </row>
    <row r="122" spans="1:13" s="55" customFormat="1">
      <c r="B122" s="90"/>
      <c r="C122" s="90"/>
      <c r="D122" s="91"/>
      <c r="E122" s="91"/>
      <c r="F122" s="175"/>
      <c r="G122" s="175"/>
      <c r="H122" s="176"/>
      <c r="I122" s="176"/>
      <c r="J122" s="177"/>
      <c r="K122" s="178"/>
      <c r="M122" s="177"/>
    </row>
    <row r="123" spans="1:13">
      <c r="B123" s="88"/>
      <c r="C123" s="88"/>
      <c r="D123" s="54"/>
      <c r="E123" s="54"/>
      <c r="F123" s="54"/>
      <c r="G123" s="54"/>
      <c r="H123" s="52"/>
      <c r="I123" s="89"/>
    </row>
    <row r="124" spans="1:13">
      <c r="B124" s="90"/>
      <c r="C124" s="90"/>
      <c r="D124" s="91"/>
      <c r="E124" s="91"/>
      <c r="F124" s="91"/>
      <c r="G124" s="92"/>
      <c r="H124" s="89"/>
      <c r="I124" s="89"/>
    </row>
    <row r="125" spans="1:13">
      <c r="B125" s="90"/>
      <c r="C125" s="90"/>
      <c r="D125" s="91"/>
      <c r="E125" s="91"/>
      <c r="F125" s="91"/>
      <c r="G125" s="92"/>
      <c r="H125" s="89"/>
      <c r="I125" s="89"/>
    </row>
    <row r="126" spans="1:13">
      <c r="B126" s="90"/>
      <c r="C126" s="90"/>
      <c r="D126" s="91"/>
      <c r="E126" s="91"/>
      <c r="F126" s="91"/>
      <c r="G126" s="92"/>
      <c r="H126" s="89"/>
      <c r="I126" s="89"/>
    </row>
    <row r="127" spans="1:13">
      <c r="B127" s="90"/>
      <c r="C127" s="90"/>
      <c r="D127" s="91"/>
      <c r="E127" s="91"/>
      <c r="F127" s="91"/>
      <c r="G127" s="92"/>
      <c r="H127" s="89"/>
      <c r="I127" s="89"/>
    </row>
    <row r="128" spans="1:13">
      <c r="B128" s="90"/>
      <c r="C128" s="90"/>
      <c r="D128" s="91"/>
      <c r="E128" s="91"/>
      <c r="F128" s="91"/>
      <c r="G128" s="92"/>
      <c r="H128" s="89"/>
      <c r="I128" s="89"/>
    </row>
    <row r="129" spans="2:14">
      <c r="B129" s="90"/>
      <c r="C129" s="90"/>
      <c r="D129" s="91"/>
      <c r="E129" s="91"/>
      <c r="F129" s="91"/>
      <c r="G129" s="92"/>
      <c r="H129" s="89"/>
      <c r="I129" s="89"/>
    </row>
    <row r="130" spans="2:14">
      <c r="B130" s="90"/>
      <c r="C130" s="90"/>
      <c r="D130" s="91"/>
      <c r="E130" s="91"/>
      <c r="F130" s="91"/>
      <c r="G130" s="92"/>
      <c r="H130" s="89"/>
      <c r="I130" s="89"/>
    </row>
    <row r="131" spans="2:14">
      <c r="B131" s="90"/>
      <c r="C131" s="90"/>
      <c r="D131" s="91"/>
      <c r="E131" s="91"/>
      <c r="F131" s="91"/>
      <c r="G131" s="92"/>
      <c r="H131" s="89"/>
      <c r="I131" s="89"/>
    </row>
    <row r="132" spans="2:14">
      <c r="B132" s="90"/>
      <c r="C132" s="90"/>
      <c r="D132" s="91"/>
      <c r="E132" s="91"/>
      <c r="F132" s="91"/>
      <c r="G132" s="92"/>
      <c r="H132" s="89"/>
      <c r="I132" s="89"/>
    </row>
    <row r="133" spans="2:14">
      <c r="B133" s="90"/>
      <c r="C133" s="90"/>
      <c r="D133" s="91"/>
      <c r="E133" s="91"/>
      <c r="F133" s="91"/>
      <c r="G133" s="92"/>
      <c r="H133" s="89"/>
      <c r="I133" s="89"/>
    </row>
    <row r="134" spans="2:14">
      <c r="B134" s="90"/>
      <c r="C134" s="90"/>
      <c r="D134" s="91"/>
      <c r="E134" s="91"/>
      <c r="F134" s="91"/>
      <c r="G134" s="92"/>
      <c r="H134" s="89"/>
      <c r="I134" s="89"/>
    </row>
    <row r="135" spans="2:14">
      <c r="B135" s="90"/>
      <c r="C135" s="90"/>
      <c r="D135" s="91"/>
      <c r="E135" s="91"/>
      <c r="F135" s="91"/>
      <c r="G135" s="92"/>
    </row>
    <row r="136" spans="2:14">
      <c r="B136" s="90"/>
      <c r="C136" s="90"/>
      <c r="D136" s="91"/>
      <c r="E136" s="91"/>
      <c r="F136" s="91"/>
      <c r="G136" s="92"/>
    </row>
    <row r="137" spans="2:14">
      <c r="B137" s="90"/>
      <c r="C137" s="90"/>
      <c r="D137" s="91"/>
      <c r="E137" s="91"/>
      <c r="F137" s="91"/>
      <c r="G137" s="92"/>
    </row>
    <row r="138" spans="2:14">
      <c r="B138" s="90"/>
      <c r="C138" s="90"/>
      <c r="D138" s="91"/>
      <c r="E138" s="91"/>
      <c r="F138" s="91"/>
      <c r="G138" s="92"/>
    </row>
    <row r="139" spans="2:14">
      <c r="B139" s="90"/>
      <c r="C139" s="90"/>
      <c r="D139" s="91"/>
      <c r="E139" s="91"/>
      <c r="F139" s="91"/>
      <c r="G139" s="92"/>
    </row>
    <row r="140" spans="2:14">
      <c r="B140" s="90"/>
      <c r="C140" s="90"/>
      <c r="D140" s="91"/>
      <c r="E140" s="91"/>
      <c r="F140" s="91"/>
      <c r="G140" s="92"/>
    </row>
    <row r="141" spans="2:14">
      <c r="B141" s="90"/>
      <c r="C141" s="90"/>
      <c r="D141" s="91"/>
      <c r="E141" s="91"/>
      <c r="F141" s="91"/>
      <c r="G141" s="92"/>
    </row>
    <row r="142" spans="2:14">
      <c r="B142" s="90"/>
      <c r="C142" s="90"/>
      <c r="D142" s="91"/>
      <c r="E142" s="91"/>
      <c r="F142" s="91"/>
      <c r="G142" s="92"/>
    </row>
    <row r="143" spans="2:14" s="93" customFormat="1">
      <c r="B143" s="90"/>
      <c r="C143" s="90"/>
      <c r="D143" s="91"/>
      <c r="E143" s="91"/>
      <c r="F143" s="91"/>
      <c r="G143" s="92"/>
      <c r="H143" s="64"/>
      <c r="I143" s="64"/>
      <c r="J143" s="64"/>
      <c r="K143" s="64"/>
      <c r="L143" s="64"/>
      <c r="M143" s="64"/>
      <c r="N143" s="64"/>
    </row>
    <row r="144" spans="2:14" s="93" customFormat="1">
      <c r="B144" s="90"/>
      <c r="C144" s="90"/>
      <c r="D144" s="91"/>
      <c r="E144" s="91"/>
      <c r="F144" s="91"/>
      <c r="G144" s="92"/>
      <c r="H144" s="64"/>
      <c r="I144" s="64"/>
      <c r="J144" s="64"/>
      <c r="K144" s="64"/>
      <c r="L144" s="64"/>
      <c r="M144" s="64"/>
      <c r="N144" s="64"/>
    </row>
    <row r="145" spans="2:14" s="93" customFormat="1">
      <c r="B145" s="90"/>
      <c r="C145" s="90"/>
      <c r="D145" s="91"/>
      <c r="E145" s="91"/>
      <c r="F145" s="91"/>
      <c r="G145" s="92"/>
      <c r="H145" s="64"/>
      <c r="I145" s="64"/>
      <c r="J145" s="64"/>
      <c r="K145" s="64"/>
      <c r="L145" s="64"/>
      <c r="M145" s="64"/>
      <c r="N145" s="64"/>
    </row>
    <row r="146" spans="2:14" s="93" customFormat="1">
      <c r="B146" s="90"/>
      <c r="C146" s="90"/>
      <c r="D146" s="91"/>
      <c r="E146" s="91"/>
      <c r="F146" s="91"/>
      <c r="G146" s="92"/>
      <c r="H146" s="64"/>
      <c r="I146" s="64"/>
      <c r="J146" s="64"/>
      <c r="K146" s="64"/>
      <c r="L146" s="64"/>
      <c r="M146" s="64"/>
      <c r="N146" s="64"/>
    </row>
    <row r="147" spans="2:14" s="93" customFormat="1">
      <c r="B147" s="90"/>
      <c r="C147" s="90"/>
      <c r="D147" s="91"/>
      <c r="E147" s="91"/>
      <c r="F147" s="91"/>
      <c r="G147" s="92"/>
      <c r="H147" s="64"/>
      <c r="I147" s="64"/>
      <c r="J147" s="64"/>
      <c r="K147" s="64"/>
      <c r="L147" s="64"/>
      <c r="M147" s="64"/>
      <c r="N147" s="64"/>
    </row>
    <row r="148" spans="2:14" s="93" customFormat="1">
      <c r="B148" s="90"/>
      <c r="C148" s="90"/>
      <c r="D148" s="91"/>
      <c r="E148" s="91"/>
      <c r="F148" s="91"/>
      <c r="G148" s="92"/>
      <c r="H148" s="64"/>
      <c r="I148" s="64"/>
      <c r="J148" s="64"/>
      <c r="K148" s="64"/>
      <c r="L148" s="64"/>
      <c r="M148" s="64"/>
      <c r="N148" s="64"/>
    </row>
    <row r="149" spans="2:14" s="93" customFormat="1">
      <c r="B149" s="90"/>
      <c r="C149" s="90"/>
      <c r="D149" s="91"/>
      <c r="E149" s="91"/>
      <c r="F149" s="91"/>
      <c r="G149" s="92"/>
      <c r="H149" s="64"/>
      <c r="I149" s="64"/>
      <c r="J149" s="64"/>
      <c r="K149" s="64"/>
      <c r="L149" s="64"/>
      <c r="M149" s="64"/>
      <c r="N149" s="64"/>
    </row>
    <row r="150" spans="2:14" s="93" customFormat="1">
      <c r="B150" s="90"/>
      <c r="C150" s="90"/>
      <c r="D150" s="91"/>
      <c r="E150" s="91"/>
      <c r="F150" s="91"/>
      <c r="G150" s="92"/>
      <c r="H150" s="64"/>
      <c r="I150" s="64"/>
      <c r="J150" s="64"/>
      <c r="K150" s="64"/>
      <c r="L150" s="64"/>
      <c r="M150" s="64"/>
      <c r="N150" s="64"/>
    </row>
    <row r="151" spans="2:14" s="93" customFormat="1">
      <c r="B151" s="90"/>
      <c r="C151" s="90"/>
      <c r="D151" s="91"/>
      <c r="E151" s="91"/>
      <c r="F151" s="91"/>
      <c r="G151" s="92"/>
      <c r="H151" s="64"/>
      <c r="I151" s="64"/>
      <c r="J151" s="64"/>
      <c r="K151" s="64"/>
      <c r="L151" s="64"/>
      <c r="M151" s="64"/>
      <c r="N151" s="64"/>
    </row>
    <row r="152" spans="2:14" s="93" customFormat="1">
      <c r="B152" s="90"/>
      <c r="C152" s="90"/>
      <c r="D152" s="91"/>
      <c r="E152" s="91"/>
      <c r="F152" s="91"/>
      <c r="G152" s="92"/>
      <c r="H152" s="64"/>
      <c r="I152" s="64"/>
      <c r="J152" s="64"/>
      <c r="K152" s="64"/>
      <c r="L152" s="64"/>
      <c r="M152" s="64"/>
      <c r="N152" s="64"/>
    </row>
    <row r="153" spans="2:14" s="93" customFormat="1">
      <c r="B153" s="90"/>
      <c r="C153" s="90"/>
      <c r="D153" s="91"/>
      <c r="E153" s="91"/>
      <c r="F153" s="91"/>
      <c r="G153" s="92"/>
      <c r="H153" s="64"/>
      <c r="I153" s="64"/>
      <c r="J153" s="64"/>
      <c r="K153" s="64"/>
      <c r="L153" s="64"/>
      <c r="M153" s="64"/>
      <c r="N153" s="64"/>
    </row>
    <row r="154" spans="2:14" s="93" customFormat="1">
      <c r="B154" s="90"/>
      <c r="C154" s="90"/>
      <c r="D154" s="91"/>
      <c r="E154" s="91"/>
      <c r="F154" s="91"/>
      <c r="G154" s="92"/>
      <c r="H154" s="64"/>
      <c r="I154" s="64"/>
      <c r="J154" s="64"/>
      <c r="K154" s="64"/>
      <c r="L154" s="64"/>
      <c r="M154" s="64"/>
      <c r="N154" s="64"/>
    </row>
    <row r="155" spans="2:14" s="93" customFormat="1">
      <c r="B155" s="90"/>
      <c r="C155" s="90"/>
      <c r="D155" s="91"/>
      <c r="E155" s="91"/>
      <c r="F155" s="91"/>
      <c r="G155" s="92"/>
      <c r="H155" s="64"/>
      <c r="I155" s="64"/>
      <c r="J155" s="64"/>
      <c r="K155" s="64"/>
      <c r="L155" s="64"/>
      <c r="M155" s="64"/>
      <c r="N155" s="64"/>
    </row>
    <row r="156" spans="2:14" s="93" customFormat="1">
      <c r="B156" s="90"/>
      <c r="C156" s="90"/>
      <c r="D156" s="91"/>
      <c r="E156" s="91"/>
      <c r="F156" s="91"/>
      <c r="G156" s="92"/>
      <c r="H156" s="64"/>
      <c r="I156" s="64"/>
      <c r="J156" s="64"/>
      <c r="K156" s="64"/>
      <c r="L156" s="64"/>
      <c r="M156" s="64"/>
      <c r="N156" s="64"/>
    </row>
    <row r="157" spans="2:14" s="93" customFormat="1">
      <c r="B157" s="90"/>
      <c r="C157" s="90"/>
      <c r="D157" s="91"/>
      <c r="E157" s="91"/>
      <c r="F157" s="91"/>
      <c r="G157" s="92"/>
      <c r="H157" s="64"/>
      <c r="I157" s="64"/>
      <c r="J157" s="64"/>
      <c r="K157" s="64"/>
      <c r="L157" s="64"/>
      <c r="M157" s="64"/>
      <c r="N157" s="64"/>
    </row>
    <row r="158" spans="2:14" s="93" customFormat="1">
      <c r="B158" s="90"/>
      <c r="C158" s="90"/>
      <c r="D158" s="91"/>
      <c r="E158" s="91"/>
      <c r="F158" s="91"/>
      <c r="G158" s="92"/>
      <c r="H158" s="64"/>
      <c r="I158" s="64"/>
      <c r="J158" s="64"/>
      <c r="K158" s="64"/>
      <c r="L158" s="64"/>
      <c r="M158" s="64"/>
      <c r="N158" s="64"/>
    </row>
    <row r="159" spans="2:14" s="93" customFormat="1">
      <c r="B159" s="90"/>
      <c r="C159" s="90"/>
      <c r="D159" s="91"/>
      <c r="E159" s="91"/>
      <c r="F159" s="91"/>
      <c r="G159" s="92"/>
      <c r="H159" s="64"/>
      <c r="I159" s="64"/>
      <c r="J159" s="64"/>
      <c r="K159" s="64"/>
      <c r="L159" s="64"/>
      <c r="M159" s="64"/>
      <c r="N159" s="64"/>
    </row>
    <row r="160" spans="2:14" s="93" customFormat="1">
      <c r="B160" s="90"/>
      <c r="C160" s="90"/>
      <c r="D160" s="91"/>
      <c r="E160" s="91"/>
      <c r="F160" s="91"/>
      <c r="G160" s="92"/>
      <c r="H160" s="64"/>
      <c r="I160" s="64"/>
      <c r="J160" s="64"/>
      <c r="K160" s="64"/>
      <c r="L160" s="64"/>
      <c r="M160" s="64"/>
      <c r="N160" s="64"/>
    </row>
    <row r="161" spans="2:14" s="93" customFormat="1">
      <c r="B161" s="90"/>
      <c r="C161" s="90"/>
      <c r="D161" s="91"/>
      <c r="E161" s="91"/>
      <c r="F161" s="91"/>
      <c r="G161" s="92"/>
      <c r="H161" s="64"/>
      <c r="I161" s="64"/>
      <c r="J161" s="64"/>
      <c r="K161" s="64"/>
      <c r="L161" s="64"/>
      <c r="M161" s="64"/>
      <c r="N161" s="64"/>
    </row>
    <row r="162" spans="2:14" s="93" customFormat="1">
      <c r="B162" s="90"/>
      <c r="C162" s="90"/>
      <c r="D162" s="91"/>
      <c r="E162" s="91"/>
      <c r="F162" s="91"/>
      <c r="G162" s="92"/>
      <c r="H162" s="64"/>
      <c r="I162" s="64"/>
      <c r="J162" s="64"/>
      <c r="K162" s="64"/>
      <c r="L162" s="64"/>
      <c r="M162" s="64"/>
      <c r="N162" s="64"/>
    </row>
    <row r="163" spans="2:14" s="93" customFormat="1">
      <c r="B163" s="90"/>
      <c r="C163" s="90"/>
      <c r="D163" s="91"/>
      <c r="E163" s="91"/>
      <c r="F163" s="91"/>
      <c r="G163" s="92"/>
      <c r="H163" s="64"/>
      <c r="I163" s="64"/>
      <c r="J163" s="64"/>
      <c r="K163" s="64"/>
      <c r="L163" s="64"/>
      <c r="M163" s="64"/>
      <c r="N163" s="64"/>
    </row>
    <row r="164" spans="2:14" s="93" customFormat="1">
      <c r="B164" s="90"/>
      <c r="C164" s="90"/>
      <c r="D164" s="91"/>
      <c r="E164" s="91"/>
      <c r="F164" s="91"/>
      <c r="G164" s="92"/>
      <c r="H164" s="64"/>
      <c r="I164" s="64"/>
      <c r="J164" s="64"/>
      <c r="K164" s="64"/>
      <c r="L164" s="64"/>
      <c r="M164" s="64"/>
      <c r="N164" s="64"/>
    </row>
    <row r="165" spans="2:14" s="93" customFormat="1">
      <c r="B165" s="90"/>
      <c r="C165" s="90"/>
      <c r="D165" s="91"/>
      <c r="E165" s="91"/>
      <c r="F165" s="91"/>
      <c r="G165" s="92"/>
      <c r="H165" s="64"/>
      <c r="I165" s="64"/>
      <c r="J165" s="64"/>
      <c r="K165" s="64"/>
      <c r="L165" s="64"/>
      <c r="M165" s="64"/>
      <c r="N165" s="64"/>
    </row>
    <row r="166" spans="2:14" s="93" customFormat="1">
      <c r="B166" s="90"/>
      <c r="C166" s="90"/>
      <c r="D166" s="91"/>
      <c r="E166" s="91"/>
      <c r="F166" s="91"/>
      <c r="G166" s="92"/>
      <c r="H166" s="64"/>
      <c r="I166" s="64"/>
      <c r="J166" s="64"/>
      <c r="K166" s="64"/>
      <c r="L166" s="64"/>
      <c r="M166" s="64"/>
      <c r="N166" s="64"/>
    </row>
    <row r="167" spans="2:14" s="93" customFormat="1">
      <c r="B167" s="90"/>
      <c r="C167" s="90"/>
      <c r="D167" s="91"/>
      <c r="E167" s="91"/>
      <c r="F167" s="91"/>
      <c r="G167" s="92"/>
      <c r="H167" s="64"/>
      <c r="I167" s="64"/>
      <c r="J167" s="64"/>
      <c r="K167" s="64"/>
      <c r="L167" s="64"/>
      <c r="M167" s="64"/>
      <c r="N167" s="64"/>
    </row>
    <row r="168" spans="2:14" s="93" customFormat="1">
      <c r="B168" s="94"/>
      <c r="C168" s="94"/>
      <c r="G168" s="64"/>
      <c r="H168" s="64"/>
      <c r="I168" s="64"/>
      <c r="J168" s="64"/>
      <c r="K168" s="64"/>
      <c r="L168" s="64"/>
      <c r="M168" s="64"/>
      <c r="N168" s="64"/>
    </row>
    <row r="169" spans="2:14" s="93" customFormat="1">
      <c r="B169" s="94"/>
      <c r="C169" s="94"/>
      <c r="G169" s="64"/>
      <c r="H169" s="64"/>
      <c r="I169" s="64"/>
      <c r="J169" s="64"/>
      <c r="K169" s="64"/>
      <c r="L169" s="64"/>
      <c r="M169" s="64"/>
      <c r="N169" s="64"/>
    </row>
    <row r="170" spans="2:14" s="93" customFormat="1">
      <c r="B170" s="94"/>
      <c r="C170" s="94"/>
      <c r="G170" s="64"/>
      <c r="H170" s="64"/>
      <c r="I170" s="64"/>
      <c r="J170" s="64"/>
      <c r="K170" s="64"/>
      <c r="L170" s="64"/>
      <c r="M170" s="64"/>
      <c r="N170" s="64"/>
    </row>
    <row r="171" spans="2:14" s="93" customFormat="1">
      <c r="B171" s="94"/>
      <c r="C171" s="94"/>
      <c r="G171" s="64"/>
      <c r="H171" s="64"/>
      <c r="I171" s="64"/>
      <c r="J171" s="64"/>
      <c r="K171" s="64"/>
      <c r="L171" s="64"/>
      <c r="M171" s="64"/>
      <c r="N171" s="64"/>
    </row>
    <row r="172" spans="2:14" s="93" customFormat="1">
      <c r="B172" s="94"/>
      <c r="C172" s="94"/>
      <c r="G172" s="64"/>
      <c r="H172" s="64"/>
      <c r="I172" s="64"/>
      <c r="J172" s="64"/>
      <c r="K172" s="64"/>
      <c r="L172" s="64"/>
      <c r="M172" s="64"/>
      <c r="N172" s="64"/>
    </row>
    <row r="173" spans="2:14" s="93" customFormat="1">
      <c r="B173" s="94"/>
      <c r="C173" s="94"/>
      <c r="G173" s="64"/>
      <c r="H173" s="64"/>
      <c r="I173" s="64"/>
      <c r="J173" s="64"/>
      <c r="K173" s="64"/>
      <c r="L173" s="64"/>
      <c r="M173" s="64"/>
      <c r="N173" s="64"/>
    </row>
    <row r="174" spans="2:14" s="93" customFormat="1">
      <c r="B174" s="94"/>
      <c r="C174" s="94"/>
      <c r="G174" s="64"/>
      <c r="H174" s="64"/>
      <c r="I174" s="64"/>
      <c r="J174" s="64"/>
      <c r="K174" s="64"/>
      <c r="L174" s="64"/>
      <c r="M174" s="64"/>
      <c r="N174" s="64"/>
    </row>
    <row r="175" spans="2:14" s="93" customFormat="1">
      <c r="B175" s="94"/>
      <c r="C175" s="94"/>
      <c r="G175" s="64"/>
      <c r="H175" s="64"/>
      <c r="I175" s="64"/>
      <c r="J175" s="64"/>
      <c r="K175" s="64"/>
      <c r="L175" s="64"/>
      <c r="M175" s="64"/>
      <c r="N175" s="64"/>
    </row>
    <row r="176" spans="2:14" s="93" customFormat="1">
      <c r="B176" s="94"/>
      <c r="C176" s="94"/>
      <c r="G176" s="64"/>
      <c r="H176" s="64"/>
      <c r="I176" s="64"/>
      <c r="J176" s="64"/>
      <c r="K176" s="64"/>
      <c r="L176" s="64"/>
      <c r="M176" s="64"/>
      <c r="N176" s="64"/>
    </row>
    <row r="177" spans="2:14" s="93" customFormat="1">
      <c r="B177" s="94"/>
      <c r="C177" s="94"/>
      <c r="G177" s="64"/>
      <c r="H177" s="64"/>
      <c r="I177" s="64"/>
      <c r="J177" s="64"/>
      <c r="K177" s="64"/>
      <c r="L177" s="64"/>
      <c r="M177" s="64"/>
      <c r="N177" s="64"/>
    </row>
    <row r="178" spans="2:14" s="93" customFormat="1">
      <c r="B178" s="94"/>
      <c r="C178" s="94"/>
      <c r="G178" s="64"/>
      <c r="H178" s="64"/>
      <c r="I178" s="64"/>
      <c r="J178" s="64"/>
      <c r="K178" s="64"/>
      <c r="L178" s="64"/>
      <c r="M178" s="64"/>
      <c r="N178" s="64"/>
    </row>
    <row r="179" spans="2:14" s="93" customFormat="1">
      <c r="B179" s="94"/>
      <c r="C179" s="94"/>
      <c r="G179" s="64"/>
      <c r="H179" s="64"/>
      <c r="I179" s="64"/>
      <c r="J179" s="64"/>
      <c r="K179" s="64"/>
      <c r="L179" s="64"/>
      <c r="M179" s="64"/>
      <c r="N179" s="64"/>
    </row>
    <row r="180" spans="2:14" s="93" customFormat="1">
      <c r="B180" s="94"/>
      <c r="C180" s="94"/>
      <c r="G180" s="64"/>
      <c r="H180" s="64"/>
      <c r="I180" s="64"/>
      <c r="J180" s="64"/>
      <c r="K180" s="64"/>
      <c r="L180" s="64"/>
      <c r="M180" s="64"/>
      <c r="N180" s="64"/>
    </row>
    <row r="181" spans="2:14" s="93" customFormat="1">
      <c r="B181" s="94"/>
      <c r="C181" s="94"/>
      <c r="G181" s="64"/>
      <c r="H181" s="64"/>
      <c r="I181" s="64"/>
      <c r="J181" s="64"/>
      <c r="K181" s="64"/>
      <c r="L181" s="64"/>
      <c r="M181" s="64"/>
      <c r="N181" s="64"/>
    </row>
    <row r="182" spans="2:14" s="93" customFormat="1">
      <c r="B182" s="94"/>
      <c r="C182" s="94"/>
      <c r="G182" s="64"/>
      <c r="H182" s="64"/>
      <c r="I182" s="64"/>
      <c r="J182" s="64"/>
      <c r="K182" s="64"/>
      <c r="L182" s="64"/>
      <c r="M182" s="64"/>
      <c r="N182" s="64"/>
    </row>
    <row r="183" spans="2:14" s="93" customFormat="1">
      <c r="B183" s="94"/>
      <c r="C183" s="94"/>
      <c r="G183" s="64"/>
      <c r="H183" s="64"/>
      <c r="I183" s="64"/>
      <c r="J183" s="64"/>
      <c r="K183" s="64"/>
      <c r="L183" s="64"/>
      <c r="M183" s="64"/>
      <c r="N183" s="64"/>
    </row>
    <row r="184" spans="2:14" s="93" customFormat="1">
      <c r="B184" s="94"/>
      <c r="C184" s="94"/>
      <c r="G184" s="64"/>
      <c r="H184" s="64"/>
      <c r="I184" s="64"/>
      <c r="J184" s="64"/>
      <c r="K184" s="64"/>
      <c r="L184" s="64"/>
      <c r="M184" s="64"/>
      <c r="N184" s="64"/>
    </row>
    <row r="185" spans="2:14" s="93" customFormat="1">
      <c r="B185" s="94"/>
      <c r="C185" s="94"/>
      <c r="G185" s="64"/>
      <c r="H185" s="64"/>
      <c r="I185" s="64"/>
      <c r="J185" s="64"/>
      <c r="K185" s="64"/>
      <c r="L185" s="64"/>
      <c r="M185" s="64"/>
      <c r="N185" s="64"/>
    </row>
    <row r="186" spans="2:14" s="93" customFormat="1">
      <c r="B186" s="94"/>
      <c r="C186" s="94"/>
      <c r="G186" s="64"/>
      <c r="H186" s="64"/>
      <c r="I186" s="64"/>
      <c r="J186" s="64"/>
      <c r="K186" s="64"/>
      <c r="L186" s="64"/>
      <c r="M186" s="64"/>
      <c r="N186" s="64"/>
    </row>
    <row r="187" spans="2:14" s="93" customFormat="1">
      <c r="B187" s="94"/>
      <c r="C187" s="94"/>
      <c r="G187" s="64"/>
      <c r="H187" s="64"/>
      <c r="I187" s="64"/>
      <c r="J187" s="64"/>
      <c r="K187" s="64"/>
      <c r="L187" s="64"/>
      <c r="M187" s="64"/>
      <c r="N187" s="64"/>
    </row>
    <row r="188" spans="2:14" s="93" customFormat="1">
      <c r="B188" s="94"/>
      <c r="C188" s="94"/>
      <c r="G188" s="64"/>
      <c r="H188" s="64"/>
      <c r="I188" s="64"/>
      <c r="J188" s="64"/>
      <c r="K188" s="64"/>
      <c r="L188" s="64"/>
      <c r="M188" s="64"/>
      <c r="N188" s="64"/>
    </row>
    <row r="189" spans="2:14" s="93" customFormat="1">
      <c r="B189" s="94"/>
      <c r="C189" s="94"/>
      <c r="G189" s="64"/>
      <c r="H189" s="64"/>
      <c r="I189" s="64"/>
      <c r="J189" s="64"/>
      <c r="K189" s="64"/>
      <c r="L189" s="64"/>
      <c r="M189" s="64"/>
      <c r="N189" s="64"/>
    </row>
    <row r="190" spans="2:14" s="93" customFormat="1">
      <c r="B190" s="94"/>
      <c r="C190" s="94"/>
      <c r="G190" s="64"/>
      <c r="H190" s="64"/>
      <c r="I190" s="64"/>
      <c r="J190" s="64"/>
      <c r="K190" s="64"/>
      <c r="L190" s="64"/>
      <c r="M190" s="64"/>
      <c r="N190" s="64"/>
    </row>
    <row r="191" spans="2:14" s="93" customFormat="1">
      <c r="B191" s="94"/>
      <c r="C191" s="94"/>
      <c r="G191" s="64"/>
      <c r="H191" s="64"/>
      <c r="I191" s="64"/>
      <c r="J191" s="64"/>
      <c r="K191" s="64"/>
      <c r="L191" s="64"/>
      <c r="M191" s="64"/>
      <c r="N191" s="64"/>
    </row>
    <row r="192" spans="2:14" s="93" customFormat="1">
      <c r="B192" s="94"/>
      <c r="C192" s="94"/>
      <c r="G192" s="64"/>
      <c r="H192" s="64"/>
      <c r="I192" s="64"/>
      <c r="J192" s="64"/>
      <c r="K192" s="64"/>
      <c r="L192" s="64"/>
      <c r="M192" s="64"/>
      <c r="N192" s="64"/>
    </row>
    <row r="193" spans="2:14" s="93" customFormat="1">
      <c r="B193" s="94"/>
      <c r="C193" s="94"/>
      <c r="G193" s="64"/>
      <c r="H193" s="64"/>
      <c r="I193" s="64"/>
      <c r="J193" s="64"/>
      <c r="K193" s="64"/>
      <c r="L193" s="64"/>
      <c r="M193" s="64"/>
      <c r="N193" s="64"/>
    </row>
    <row r="194" spans="2:14" s="93" customFormat="1">
      <c r="B194" s="94"/>
      <c r="C194" s="94"/>
      <c r="G194" s="64"/>
      <c r="H194" s="64"/>
      <c r="I194" s="64"/>
      <c r="J194" s="64"/>
      <c r="K194" s="64"/>
      <c r="L194" s="64"/>
      <c r="M194" s="64"/>
      <c r="N194" s="64"/>
    </row>
    <row r="195" spans="2:14" s="93" customFormat="1">
      <c r="B195" s="94"/>
      <c r="C195" s="94"/>
      <c r="G195" s="64"/>
      <c r="H195" s="64"/>
      <c r="I195" s="64"/>
      <c r="J195" s="64"/>
      <c r="K195" s="64"/>
      <c r="L195" s="64"/>
      <c r="M195" s="64"/>
      <c r="N195" s="64"/>
    </row>
    <row r="196" spans="2:14" s="93" customFormat="1">
      <c r="B196" s="94"/>
      <c r="C196" s="94"/>
      <c r="G196" s="64"/>
      <c r="H196" s="64"/>
      <c r="I196" s="64"/>
      <c r="J196" s="64"/>
      <c r="K196" s="64"/>
      <c r="L196" s="64"/>
      <c r="M196" s="64"/>
      <c r="N196" s="64"/>
    </row>
    <row r="197" spans="2:14" s="93" customFormat="1">
      <c r="B197" s="94"/>
      <c r="G197" s="64"/>
      <c r="H197" s="64"/>
      <c r="I197" s="64"/>
      <c r="J197" s="64"/>
      <c r="K197" s="64"/>
      <c r="L197" s="64"/>
      <c r="M197" s="64"/>
      <c r="N197" s="64"/>
    </row>
    <row r="198" spans="2:14" s="93" customFormat="1">
      <c r="B198" s="94"/>
      <c r="G198" s="64"/>
      <c r="H198" s="64"/>
      <c r="I198" s="64"/>
      <c r="J198" s="64"/>
      <c r="K198" s="64"/>
      <c r="L198" s="64"/>
      <c r="M198" s="64"/>
      <c r="N198" s="64"/>
    </row>
    <row r="199" spans="2:14" s="93" customFormat="1">
      <c r="B199" s="94"/>
      <c r="G199" s="64"/>
      <c r="H199" s="64"/>
      <c r="I199" s="64"/>
      <c r="J199" s="64"/>
      <c r="K199" s="64"/>
      <c r="L199" s="64"/>
      <c r="M199" s="64"/>
      <c r="N199" s="64"/>
    </row>
    <row r="200" spans="2:14" s="93" customFormat="1">
      <c r="B200" s="94"/>
      <c r="G200" s="64"/>
      <c r="H200" s="64"/>
      <c r="I200" s="64"/>
      <c r="J200" s="64"/>
      <c r="K200" s="64"/>
      <c r="L200" s="64"/>
      <c r="M200" s="64"/>
      <c r="N200" s="64"/>
    </row>
    <row r="201" spans="2:14" s="93" customFormat="1">
      <c r="B201" s="94"/>
      <c r="G201" s="64"/>
      <c r="H201" s="64"/>
      <c r="I201" s="64"/>
      <c r="J201" s="64"/>
      <c r="K201" s="64"/>
      <c r="L201" s="64"/>
      <c r="M201" s="64"/>
      <c r="N201" s="64"/>
    </row>
    <row r="202" spans="2:14" s="93" customFormat="1">
      <c r="B202" s="94"/>
      <c r="G202" s="64"/>
      <c r="H202" s="64"/>
      <c r="I202" s="64"/>
      <c r="J202" s="64"/>
      <c r="K202" s="64"/>
      <c r="L202" s="64"/>
      <c r="M202" s="64"/>
      <c r="N202" s="64"/>
    </row>
    <row r="203" spans="2:14" s="93" customFormat="1">
      <c r="B203" s="94"/>
      <c r="G203" s="64"/>
      <c r="H203" s="64"/>
      <c r="I203" s="64"/>
      <c r="J203" s="64"/>
      <c r="K203" s="64"/>
      <c r="L203" s="64"/>
      <c r="M203" s="64"/>
      <c r="N203" s="64"/>
    </row>
    <row r="204" spans="2:14" s="93" customFormat="1">
      <c r="B204" s="94"/>
      <c r="G204" s="64"/>
      <c r="H204" s="64"/>
      <c r="I204" s="64"/>
      <c r="J204" s="64"/>
      <c r="K204" s="64"/>
      <c r="L204" s="64"/>
      <c r="M204" s="64"/>
      <c r="N204" s="64"/>
    </row>
    <row r="205" spans="2:14" s="93" customFormat="1">
      <c r="B205" s="94"/>
      <c r="G205" s="64"/>
      <c r="H205" s="64"/>
      <c r="I205" s="64"/>
      <c r="J205" s="64"/>
      <c r="K205" s="64"/>
      <c r="L205" s="64"/>
      <c r="M205" s="64"/>
      <c r="N205" s="64"/>
    </row>
    <row r="206" spans="2:14" s="93" customFormat="1">
      <c r="B206" s="94"/>
      <c r="G206" s="64"/>
      <c r="H206" s="64"/>
      <c r="I206" s="64"/>
      <c r="J206" s="64"/>
      <c r="K206" s="64"/>
      <c r="L206" s="64"/>
      <c r="M206" s="64"/>
      <c r="N206" s="64"/>
    </row>
    <row r="207" spans="2:14" s="93" customFormat="1">
      <c r="B207" s="94"/>
      <c r="G207" s="64"/>
      <c r="H207" s="64"/>
      <c r="I207" s="64"/>
      <c r="J207" s="64"/>
      <c r="K207" s="64"/>
      <c r="L207" s="64"/>
      <c r="M207" s="64"/>
      <c r="N207" s="64"/>
    </row>
    <row r="208" spans="2:14" s="93" customFormat="1">
      <c r="B208" s="94"/>
      <c r="G208" s="64"/>
      <c r="H208" s="64"/>
      <c r="I208" s="64"/>
      <c r="J208" s="64"/>
      <c r="K208" s="64"/>
      <c r="L208" s="64"/>
      <c r="M208" s="64"/>
      <c r="N208" s="64"/>
    </row>
    <row r="209" spans="2:14" s="93" customFormat="1">
      <c r="B209" s="94"/>
      <c r="G209" s="64"/>
      <c r="H209" s="64"/>
      <c r="I209" s="64"/>
      <c r="J209" s="64"/>
      <c r="K209" s="64"/>
      <c r="L209" s="64"/>
      <c r="M209" s="64"/>
      <c r="N209" s="64"/>
    </row>
    <row r="210" spans="2:14" s="93" customFormat="1">
      <c r="B210" s="94"/>
      <c r="G210" s="64"/>
      <c r="H210" s="64"/>
      <c r="I210" s="64"/>
      <c r="J210" s="64"/>
      <c r="K210" s="64"/>
      <c r="L210" s="64"/>
      <c r="M210" s="64"/>
      <c r="N210" s="64"/>
    </row>
    <row r="211" spans="2:14" s="93" customFormat="1">
      <c r="B211" s="94"/>
      <c r="G211" s="64"/>
      <c r="H211" s="64"/>
      <c r="I211" s="64"/>
      <c r="J211" s="64"/>
      <c r="K211" s="64"/>
      <c r="L211" s="64"/>
      <c r="M211" s="64"/>
      <c r="N211" s="64"/>
    </row>
    <row r="212" spans="2:14" s="93" customFormat="1">
      <c r="B212" s="94"/>
      <c r="G212" s="64"/>
      <c r="H212" s="64"/>
      <c r="I212" s="64"/>
      <c r="J212" s="64"/>
      <c r="K212" s="64"/>
      <c r="L212" s="64"/>
      <c r="M212" s="64"/>
      <c r="N212" s="64"/>
    </row>
    <row r="213" spans="2:14" s="93" customFormat="1">
      <c r="B213" s="94"/>
      <c r="G213" s="64"/>
      <c r="H213" s="64"/>
      <c r="I213" s="64"/>
      <c r="J213" s="64"/>
      <c r="K213" s="64"/>
      <c r="L213" s="64"/>
      <c r="M213" s="64"/>
      <c r="N213" s="64"/>
    </row>
    <row r="214" spans="2:14" s="93" customFormat="1">
      <c r="B214" s="94"/>
      <c r="G214" s="64"/>
      <c r="H214" s="64"/>
      <c r="I214" s="64"/>
      <c r="J214" s="64"/>
      <c r="K214" s="64"/>
      <c r="L214" s="64"/>
      <c r="M214" s="64"/>
      <c r="N214" s="64"/>
    </row>
    <row r="215" spans="2:14" s="93" customFormat="1">
      <c r="B215" s="94"/>
      <c r="G215" s="64"/>
      <c r="H215" s="64"/>
      <c r="I215" s="64"/>
      <c r="J215" s="64"/>
      <c r="K215" s="64"/>
      <c r="L215" s="64"/>
      <c r="M215" s="64"/>
      <c r="N215" s="64"/>
    </row>
    <row r="216" spans="2:14" s="93" customFormat="1">
      <c r="B216" s="94"/>
      <c r="G216" s="64"/>
      <c r="H216" s="64"/>
      <c r="I216" s="64"/>
      <c r="J216" s="64"/>
      <c r="K216" s="64"/>
      <c r="L216" s="64"/>
      <c r="M216" s="64"/>
      <c r="N216" s="64"/>
    </row>
    <row r="217" spans="2:14" s="93" customFormat="1">
      <c r="B217" s="94"/>
      <c r="G217" s="64"/>
      <c r="H217" s="64"/>
      <c r="I217" s="64"/>
      <c r="J217" s="64"/>
      <c r="K217" s="64"/>
      <c r="L217" s="64"/>
      <c r="M217" s="64"/>
      <c r="N217" s="64"/>
    </row>
    <row r="218" spans="2:14" s="93" customFormat="1">
      <c r="B218" s="94"/>
      <c r="G218" s="64"/>
      <c r="H218" s="64"/>
      <c r="I218" s="64"/>
      <c r="J218" s="64"/>
      <c r="K218" s="64"/>
      <c r="L218" s="64"/>
      <c r="M218" s="64"/>
      <c r="N218" s="64"/>
    </row>
    <row r="219" spans="2:14" s="93" customFormat="1">
      <c r="B219" s="94"/>
      <c r="G219" s="64"/>
      <c r="H219" s="64"/>
      <c r="I219" s="64"/>
      <c r="J219" s="64"/>
      <c r="K219" s="64"/>
      <c r="L219" s="64"/>
      <c r="M219" s="64"/>
      <c r="N219" s="64"/>
    </row>
    <row r="220" spans="2:14" s="93" customFormat="1">
      <c r="B220" s="94"/>
      <c r="G220" s="64"/>
      <c r="H220" s="64"/>
      <c r="I220" s="64"/>
      <c r="J220" s="64"/>
      <c r="K220" s="64"/>
      <c r="L220" s="64"/>
      <c r="M220" s="64"/>
      <c r="N220" s="64"/>
    </row>
    <row r="221" spans="2:14" s="93" customFormat="1">
      <c r="B221" s="94"/>
      <c r="G221" s="64"/>
      <c r="H221" s="64"/>
      <c r="I221" s="64"/>
      <c r="J221" s="64"/>
      <c r="K221" s="64"/>
      <c r="L221" s="64"/>
      <c r="M221" s="64"/>
      <c r="N221" s="64"/>
    </row>
    <row r="222" spans="2:14" s="93" customFormat="1">
      <c r="B222" s="94"/>
      <c r="G222" s="64"/>
      <c r="H222" s="64"/>
      <c r="I222" s="64"/>
      <c r="J222" s="64"/>
      <c r="K222" s="64"/>
      <c r="L222" s="64"/>
      <c r="M222" s="64"/>
      <c r="N222" s="64"/>
    </row>
    <row r="223" spans="2:14" s="93" customFormat="1">
      <c r="B223" s="94"/>
      <c r="G223" s="64"/>
      <c r="H223" s="64"/>
      <c r="I223" s="64"/>
      <c r="J223" s="64"/>
      <c r="K223" s="64"/>
      <c r="L223" s="64"/>
      <c r="M223" s="64"/>
      <c r="N223" s="64"/>
    </row>
    <row r="224" spans="2:14" s="93" customFormat="1">
      <c r="B224" s="94"/>
      <c r="G224" s="64"/>
      <c r="H224" s="64"/>
      <c r="I224" s="64"/>
      <c r="J224" s="64"/>
      <c r="K224" s="64"/>
      <c r="L224" s="64"/>
      <c r="M224" s="64"/>
      <c r="N224" s="64"/>
    </row>
    <row r="225" spans="2:14" s="93" customFormat="1">
      <c r="B225" s="94"/>
      <c r="G225" s="64"/>
      <c r="H225" s="64"/>
      <c r="I225" s="64"/>
      <c r="J225" s="64"/>
      <c r="K225" s="64"/>
      <c r="L225" s="64"/>
      <c r="M225" s="64"/>
      <c r="N225" s="64"/>
    </row>
    <row r="226" spans="2:14" s="93" customFormat="1">
      <c r="B226" s="94"/>
      <c r="G226" s="64"/>
      <c r="H226" s="64"/>
      <c r="I226" s="64"/>
      <c r="J226" s="64"/>
      <c r="K226" s="64"/>
      <c r="L226" s="64"/>
      <c r="M226" s="64"/>
      <c r="N226" s="64"/>
    </row>
    <row r="227" spans="2:14" s="93" customFormat="1">
      <c r="B227" s="94"/>
      <c r="G227" s="64"/>
      <c r="H227" s="64"/>
      <c r="I227" s="64"/>
      <c r="J227" s="64"/>
      <c r="K227" s="64"/>
      <c r="L227" s="64"/>
      <c r="M227" s="64"/>
      <c r="N227" s="64"/>
    </row>
    <row r="228" spans="2:14" s="93" customFormat="1">
      <c r="B228" s="94"/>
      <c r="G228" s="64"/>
      <c r="H228" s="64"/>
      <c r="I228" s="64"/>
      <c r="J228" s="64"/>
      <c r="K228" s="64"/>
      <c r="L228" s="64"/>
      <c r="M228" s="64"/>
      <c r="N228" s="64"/>
    </row>
    <row r="229" spans="2:14" s="93" customFormat="1">
      <c r="B229" s="94"/>
      <c r="G229" s="64"/>
      <c r="H229" s="64"/>
      <c r="I229" s="64"/>
      <c r="J229" s="64"/>
      <c r="K229" s="64"/>
      <c r="L229" s="64"/>
      <c r="M229" s="64"/>
      <c r="N229" s="64"/>
    </row>
    <row r="230" spans="2:14" s="93" customFormat="1">
      <c r="B230" s="94"/>
      <c r="G230" s="64"/>
      <c r="H230" s="64"/>
      <c r="I230" s="64"/>
      <c r="J230" s="64"/>
      <c r="K230" s="64"/>
      <c r="L230" s="64"/>
      <c r="M230" s="64"/>
      <c r="N230" s="64"/>
    </row>
    <row r="231" spans="2:14" s="93" customFormat="1">
      <c r="B231" s="94"/>
      <c r="G231" s="64"/>
      <c r="H231" s="64"/>
      <c r="I231" s="64"/>
      <c r="J231" s="64"/>
      <c r="K231" s="64"/>
      <c r="L231" s="64"/>
      <c r="M231" s="64"/>
      <c r="N231" s="64"/>
    </row>
    <row r="232" spans="2:14" s="93" customFormat="1">
      <c r="B232" s="94"/>
      <c r="G232" s="64"/>
      <c r="H232" s="64"/>
      <c r="I232" s="64"/>
      <c r="J232" s="64"/>
      <c r="K232" s="64"/>
      <c r="L232" s="64"/>
      <c r="M232" s="64"/>
      <c r="N232" s="64"/>
    </row>
    <row r="233" spans="2:14" s="93" customFormat="1">
      <c r="B233" s="94"/>
      <c r="G233" s="64"/>
      <c r="H233" s="64"/>
      <c r="I233" s="64"/>
      <c r="J233" s="64"/>
      <c r="K233" s="64"/>
      <c r="L233" s="64"/>
      <c r="M233" s="64"/>
      <c r="N233" s="64"/>
    </row>
    <row r="234" spans="2:14" s="93" customFormat="1">
      <c r="B234" s="94"/>
      <c r="G234" s="64"/>
      <c r="H234" s="64"/>
      <c r="I234" s="64"/>
      <c r="J234" s="64"/>
      <c r="K234" s="64"/>
      <c r="L234" s="64"/>
      <c r="M234" s="64"/>
      <c r="N234" s="64"/>
    </row>
    <row r="235" spans="2:14" s="93" customFormat="1">
      <c r="B235" s="94"/>
      <c r="G235" s="64"/>
      <c r="H235" s="64"/>
      <c r="I235" s="64"/>
      <c r="J235" s="64"/>
      <c r="K235" s="64"/>
      <c r="L235" s="64"/>
      <c r="M235" s="64"/>
      <c r="N235" s="64"/>
    </row>
    <row r="236" spans="2:14" s="93" customFormat="1">
      <c r="B236" s="94"/>
      <c r="G236" s="64"/>
      <c r="H236" s="64"/>
      <c r="I236" s="64"/>
      <c r="J236" s="64"/>
      <c r="K236" s="64"/>
      <c r="L236" s="64"/>
      <c r="M236" s="64"/>
      <c r="N236" s="64"/>
    </row>
    <row r="237" spans="2:14" s="93" customFormat="1">
      <c r="B237" s="94"/>
      <c r="G237" s="64"/>
      <c r="H237" s="64"/>
      <c r="I237" s="64"/>
      <c r="J237" s="64"/>
      <c r="K237" s="64"/>
      <c r="L237" s="64"/>
      <c r="M237" s="64"/>
      <c r="N237" s="64"/>
    </row>
    <row r="238" spans="2:14" s="93" customFormat="1">
      <c r="B238" s="94"/>
      <c r="G238" s="64"/>
      <c r="H238" s="64"/>
      <c r="I238" s="64"/>
      <c r="J238" s="64"/>
      <c r="K238" s="64"/>
      <c r="L238" s="64"/>
      <c r="M238" s="64"/>
      <c r="N238" s="64"/>
    </row>
    <row r="239" spans="2:14" s="93" customFormat="1">
      <c r="B239" s="94"/>
      <c r="G239" s="64"/>
      <c r="H239" s="64"/>
      <c r="I239" s="64"/>
      <c r="J239" s="64"/>
      <c r="K239" s="64"/>
      <c r="L239" s="64"/>
      <c r="M239" s="64"/>
      <c r="N239" s="64"/>
    </row>
    <row r="240" spans="2:14" s="93" customFormat="1">
      <c r="B240" s="94"/>
      <c r="G240" s="64"/>
      <c r="H240" s="64"/>
      <c r="I240" s="64"/>
      <c r="J240" s="64"/>
      <c r="K240" s="64"/>
      <c r="L240" s="64"/>
      <c r="M240" s="64"/>
      <c r="N240" s="64"/>
    </row>
    <row r="241" spans="2:14" s="93" customFormat="1">
      <c r="B241" s="94"/>
      <c r="G241" s="64"/>
      <c r="H241" s="64"/>
      <c r="I241" s="64"/>
      <c r="J241" s="64"/>
      <c r="K241" s="64"/>
      <c r="L241" s="64"/>
      <c r="M241" s="64"/>
      <c r="N241" s="64"/>
    </row>
    <row r="242" spans="2:14" s="93" customFormat="1">
      <c r="B242" s="94"/>
      <c r="G242" s="64"/>
      <c r="H242" s="64"/>
      <c r="I242" s="64"/>
      <c r="J242" s="64"/>
      <c r="K242" s="64"/>
      <c r="L242" s="64"/>
      <c r="M242" s="64"/>
      <c r="N242" s="64"/>
    </row>
    <row r="243" spans="2:14" s="93" customFormat="1">
      <c r="B243" s="94"/>
      <c r="G243" s="64"/>
      <c r="H243" s="64"/>
      <c r="I243" s="64"/>
      <c r="J243" s="64"/>
      <c r="K243" s="64"/>
      <c r="L243" s="64"/>
      <c r="M243" s="64"/>
      <c r="N243" s="64"/>
    </row>
    <row r="244" spans="2:14" s="93" customFormat="1">
      <c r="B244" s="94"/>
      <c r="G244" s="64"/>
      <c r="H244" s="64"/>
      <c r="I244" s="64"/>
      <c r="J244" s="64"/>
      <c r="K244" s="64"/>
      <c r="L244" s="64"/>
      <c r="M244" s="64"/>
      <c r="N244" s="64"/>
    </row>
    <row r="245" spans="2:14" s="93" customFormat="1">
      <c r="B245" s="94"/>
      <c r="G245" s="64"/>
      <c r="H245" s="64"/>
      <c r="I245" s="64"/>
      <c r="J245" s="64"/>
      <c r="K245" s="64"/>
      <c r="L245" s="64"/>
      <c r="M245" s="64"/>
      <c r="N245" s="64"/>
    </row>
    <row r="246" spans="2:14" s="93" customFormat="1">
      <c r="B246" s="94"/>
      <c r="G246" s="64"/>
      <c r="H246" s="64"/>
      <c r="I246" s="64"/>
      <c r="J246" s="64"/>
      <c r="K246" s="64"/>
      <c r="L246" s="64"/>
      <c r="M246" s="64"/>
      <c r="N246" s="64"/>
    </row>
    <row r="247" spans="2:14" s="93" customFormat="1">
      <c r="B247" s="94"/>
      <c r="G247" s="64"/>
      <c r="H247" s="64"/>
      <c r="I247" s="64"/>
      <c r="J247" s="64"/>
      <c r="K247" s="64"/>
      <c r="L247" s="64"/>
      <c r="M247" s="64"/>
      <c r="N247" s="64"/>
    </row>
    <row r="248" spans="2:14" s="93" customFormat="1">
      <c r="B248" s="94"/>
      <c r="G248" s="64"/>
      <c r="H248" s="64"/>
      <c r="I248" s="64"/>
      <c r="J248" s="64"/>
      <c r="K248" s="64"/>
      <c r="L248" s="64"/>
      <c r="M248" s="64"/>
      <c r="N248" s="64"/>
    </row>
    <row r="249" spans="2:14" s="93" customFormat="1">
      <c r="B249" s="94"/>
      <c r="G249" s="64"/>
      <c r="H249" s="64"/>
      <c r="I249" s="64"/>
      <c r="J249" s="64"/>
      <c r="K249" s="64"/>
      <c r="L249" s="64"/>
      <c r="M249" s="64"/>
      <c r="N249" s="64"/>
    </row>
    <row r="250" spans="2:14" s="93" customFormat="1">
      <c r="B250" s="94"/>
      <c r="G250" s="64"/>
      <c r="H250" s="64"/>
      <c r="I250" s="64"/>
      <c r="J250" s="64"/>
      <c r="K250" s="64"/>
      <c r="L250" s="64"/>
      <c r="M250" s="64"/>
      <c r="N250" s="64"/>
    </row>
    <row r="251" spans="2:14" s="93" customFormat="1">
      <c r="B251" s="94"/>
      <c r="G251" s="64"/>
      <c r="H251" s="64"/>
      <c r="I251" s="64"/>
      <c r="J251" s="64"/>
      <c r="K251" s="64"/>
      <c r="L251" s="64"/>
      <c r="M251" s="64"/>
      <c r="N251" s="64"/>
    </row>
    <row r="252" spans="2:14" s="93" customFormat="1">
      <c r="B252" s="94"/>
      <c r="G252" s="64"/>
      <c r="H252" s="64"/>
      <c r="I252" s="64"/>
      <c r="J252" s="64"/>
      <c r="K252" s="64"/>
      <c r="L252" s="64"/>
      <c r="M252" s="64"/>
      <c r="N252" s="64"/>
    </row>
    <row r="253" spans="2:14" s="93" customFormat="1">
      <c r="B253" s="94"/>
      <c r="G253" s="64"/>
      <c r="H253" s="64"/>
      <c r="I253" s="64"/>
      <c r="J253" s="64"/>
      <c r="K253" s="64"/>
      <c r="L253" s="64"/>
      <c r="M253" s="64"/>
      <c r="N253" s="64"/>
    </row>
    <row r="254" spans="2:14" s="93" customFormat="1">
      <c r="B254" s="94"/>
      <c r="G254" s="64"/>
      <c r="H254" s="64"/>
      <c r="I254" s="64"/>
      <c r="J254" s="64"/>
      <c r="K254" s="64"/>
      <c r="L254" s="64"/>
      <c r="M254" s="64"/>
      <c r="N254" s="64"/>
    </row>
    <row r="255" spans="2:14" s="93" customFormat="1">
      <c r="B255" s="94"/>
      <c r="G255" s="64"/>
      <c r="H255" s="64"/>
      <c r="I255" s="64"/>
      <c r="J255" s="64"/>
      <c r="K255" s="64"/>
      <c r="L255" s="64"/>
      <c r="M255" s="64"/>
      <c r="N255" s="64"/>
    </row>
    <row r="256" spans="2:14" s="93" customFormat="1">
      <c r="B256" s="94"/>
      <c r="G256" s="64"/>
      <c r="H256" s="64"/>
      <c r="I256" s="64"/>
      <c r="J256" s="64"/>
      <c r="K256" s="64"/>
      <c r="L256" s="64"/>
      <c r="M256" s="64"/>
      <c r="N256" s="64"/>
    </row>
    <row r="257" spans="2:14" s="93" customFormat="1">
      <c r="B257" s="94"/>
      <c r="G257" s="64"/>
      <c r="H257" s="64"/>
      <c r="I257" s="64"/>
      <c r="J257" s="64"/>
      <c r="K257" s="64"/>
      <c r="L257" s="64"/>
      <c r="M257" s="64"/>
      <c r="N257" s="64"/>
    </row>
    <row r="258" spans="2:14" s="93" customFormat="1">
      <c r="B258" s="94"/>
      <c r="G258" s="64"/>
      <c r="H258" s="64"/>
      <c r="I258" s="64"/>
      <c r="J258" s="64"/>
      <c r="K258" s="64"/>
      <c r="L258" s="64"/>
      <c r="M258" s="64"/>
      <c r="N258" s="64"/>
    </row>
    <row r="259" spans="2:14" s="93" customFormat="1">
      <c r="B259" s="94"/>
      <c r="G259" s="64"/>
      <c r="H259" s="64"/>
      <c r="I259" s="64"/>
      <c r="J259" s="64"/>
      <c r="K259" s="64"/>
      <c r="L259" s="64"/>
      <c r="M259" s="64"/>
      <c r="N259" s="64"/>
    </row>
    <row r="260" spans="2:14" s="93" customFormat="1">
      <c r="B260" s="94"/>
      <c r="G260" s="64"/>
      <c r="H260" s="64"/>
      <c r="I260" s="64"/>
      <c r="J260" s="64"/>
      <c r="K260" s="64"/>
      <c r="L260" s="64"/>
      <c r="M260" s="64"/>
      <c r="N260" s="64"/>
    </row>
    <row r="261" spans="2:14" s="93" customFormat="1">
      <c r="B261" s="94"/>
      <c r="G261" s="64"/>
      <c r="H261" s="64"/>
      <c r="I261" s="64"/>
      <c r="J261" s="64"/>
      <c r="K261" s="64"/>
      <c r="L261" s="64"/>
      <c r="M261" s="64"/>
      <c r="N261" s="64"/>
    </row>
    <row r="262" spans="2:14" s="93" customFormat="1">
      <c r="B262" s="94"/>
      <c r="G262" s="64"/>
      <c r="H262" s="64"/>
      <c r="I262" s="64"/>
      <c r="J262" s="64"/>
      <c r="K262" s="64"/>
      <c r="L262" s="64"/>
      <c r="M262" s="64"/>
      <c r="N262" s="64"/>
    </row>
    <row r="263" spans="2:14" s="93" customFormat="1">
      <c r="B263" s="94"/>
      <c r="G263" s="64"/>
      <c r="H263" s="64"/>
      <c r="I263" s="64"/>
      <c r="J263" s="64"/>
      <c r="K263" s="64"/>
      <c r="L263" s="64"/>
      <c r="M263" s="64"/>
      <c r="N263" s="64"/>
    </row>
    <row r="264" spans="2:14" s="93" customFormat="1">
      <c r="B264" s="94"/>
      <c r="G264" s="64"/>
      <c r="H264" s="64"/>
      <c r="I264" s="64"/>
      <c r="J264" s="64"/>
      <c r="K264" s="64"/>
      <c r="L264" s="64"/>
      <c r="M264" s="64"/>
      <c r="N264" s="64"/>
    </row>
    <row r="265" spans="2:14" s="93" customFormat="1">
      <c r="B265" s="94"/>
      <c r="G265" s="64"/>
      <c r="H265" s="64"/>
      <c r="I265" s="64"/>
      <c r="J265" s="64"/>
      <c r="K265" s="64"/>
      <c r="L265" s="64"/>
      <c r="M265" s="64"/>
      <c r="N265" s="64"/>
    </row>
    <row r="266" spans="2:14" s="93" customFormat="1">
      <c r="B266" s="94"/>
      <c r="G266" s="64"/>
      <c r="H266" s="64"/>
      <c r="I266" s="64"/>
      <c r="J266" s="64"/>
      <c r="K266" s="64"/>
      <c r="L266" s="64"/>
      <c r="M266" s="64"/>
      <c r="N266" s="64"/>
    </row>
    <row r="267" spans="2:14" s="93" customFormat="1">
      <c r="B267" s="94"/>
      <c r="G267" s="64"/>
      <c r="H267" s="64"/>
      <c r="I267" s="64"/>
      <c r="J267" s="64"/>
      <c r="K267" s="64"/>
      <c r="L267" s="64"/>
      <c r="M267" s="64"/>
      <c r="N267" s="64"/>
    </row>
    <row r="268" spans="2:14" s="93" customFormat="1">
      <c r="B268" s="94"/>
      <c r="G268" s="64"/>
      <c r="H268" s="64"/>
      <c r="I268" s="64"/>
      <c r="J268" s="64"/>
      <c r="K268" s="64"/>
      <c r="L268" s="64"/>
      <c r="M268" s="64"/>
      <c r="N268" s="64"/>
    </row>
    <row r="269" spans="2:14" s="93" customFormat="1">
      <c r="B269" s="94"/>
      <c r="G269" s="64"/>
      <c r="H269" s="64"/>
      <c r="I269" s="64"/>
      <c r="J269" s="64"/>
      <c r="K269" s="64"/>
      <c r="L269" s="64"/>
      <c r="M269" s="64"/>
      <c r="N269" s="64"/>
    </row>
    <row r="270" spans="2:14" s="93" customFormat="1">
      <c r="B270" s="94"/>
      <c r="G270" s="64"/>
      <c r="H270" s="64"/>
      <c r="I270" s="64"/>
      <c r="J270" s="64"/>
      <c r="K270" s="64"/>
      <c r="L270" s="64"/>
      <c r="M270" s="64"/>
      <c r="N270" s="64"/>
    </row>
    <row r="271" spans="2:14" s="93" customFormat="1">
      <c r="B271" s="94"/>
      <c r="G271" s="64"/>
      <c r="H271" s="64"/>
      <c r="I271" s="64"/>
      <c r="J271" s="64"/>
      <c r="K271" s="64"/>
      <c r="L271" s="64"/>
      <c r="M271" s="64"/>
      <c r="N271" s="64"/>
    </row>
    <row r="272" spans="2:14" s="93" customFormat="1">
      <c r="B272" s="94"/>
      <c r="G272" s="64"/>
      <c r="H272" s="64"/>
      <c r="I272" s="64"/>
      <c r="J272" s="64"/>
      <c r="K272" s="64"/>
      <c r="L272" s="64"/>
      <c r="M272" s="64"/>
      <c r="N272" s="64"/>
    </row>
    <row r="273" spans="2:14" s="93" customFormat="1">
      <c r="B273" s="94"/>
      <c r="G273" s="64"/>
      <c r="H273" s="64"/>
      <c r="I273" s="64"/>
      <c r="J273" s="64"/>
      <c r="K273" s="64"/>
      <c r="L273" s="64"/>
      <c r="M273" s="64"/>
      <c r="N273" s="64"/>
    </row>
    <row r="274" spans="2:14" s="93" customFormat="1">
      <c r="B274" s="94"/>
      <c r="G274" s="64"/>
      <c r="H274" s="64"/>
      <c r="I274" s="64"/>
      <c r="J274" s="64"/>
      <c r="K274" s="64"/>
      <c r="L274" s="64"/>
      <c r="M274" s="64"/>
      <c r="N274" s="64"/>
    </row>
    <row r="275" spans="2:14" s="93" customFormat="1">
      <c r="B275" s="94"/>
      <c r="G275" s="64"/>
      <c r="H275" s="64"/>
      <c r="I275" s="64"/>
      <c r="J275" s="64"/>
      <c r="K275" s="64"/>
      <c r="L275" s="64"/>
      <c r="M275" s="64"/>
      <c r="N275" s="64"/>
    </row>
    <row r="276" spans="2:14" s="93" customFormat="1">
      <c r="B276" s="94"/>
      <c r="G276" s="64"/>
      <c r="H276" s="64"/>
      <c r="I276" s="64"/>
      <c r="J276" s="64"/>
      <c r="K276" s="64"/>
      <c r="L276" s="64"/>
      <c r="M276" s="64"/>
      <c r="N276" s="64"/>
    </row>
    <row r="277" spans="2:14" s="93" customFormat="1">
      <c r="B277" s="94"/>
      <c r="G277" s="64"/>
      <c r="H277" s="64"/>
      <c r="I277" s="64"/>
      <c r="J277" s="64"/>
      <c r="K277" s="64"/>
      <c r="L277" s="64"/>
      <c r="M277" s="64"/>
      <c r="N277" s="64"/>
    </row>
    <row r="278" spans="2:14" s="93" customFormat="1">
      <c r="B278" s="94"/>
      <c r="G278" s="64"/>
      <c r="H278" s="64"/>
      <c r="I278" s="64"/>
      <c r="J278" s="64"/>
      <c r="K278" s="64"/>
      <c r="L278" s="64"/>
      <c r="M278" s="64"/>
      <c r="N278" s="64"/>
    </row>
    <row r="279" spans="2:14" s="93" customFormat="1">
      <c r="B279" s="94"/>
      <c r="G279" s="64"/>
      <c r="H279" s="64"/>
      <c r="I279" s="64"/>
      <c r="J279" s="64"/>
      <c r="K279" s="64"/>
      <c r="L279" s="64"/>
      <c r="M279" s="64"/>
      <c r="N279" s="64"/>
    </row>
    <row r="280" spans="2:14" s="93" customFormat="1">
      <c r="B280" s="94"/>
      <c r="G280" s="64"/>
      <c r="H280" s="64"/>
      <c r="I280" s="64"/>
      <c r="J280" s="64"/>
      <c r="K280" s="64"/>
      <c r="L280" s="64"/>
      <c r="M280" s="64"/>
      <c r="N280" s="64"/>
    </row>
    <row r="281" spans="2:14" s="93" customFormat="1">
      <c r="B281" s="94"/>
      <c r="G281" s="64"/>
      <c r="H281" s="64"/>
      <c r="I281" s="64"/>
      <c r="J281" s="64"/>
      <c r="K281" s="64"/>
      <c r="L281" s="64"/>
      <c r="M281" s="64"/>
      <c r="N281" s="64"/>
    </row>
    <row r="282" spans="2:14" s="93" customFormat="1">
      <c r="B282" s="94"/>
      <c r="G282" s="64"/>
      <c r="H282" s="64"/>
      <c r="I282" s="64"/>
      <c r="J282" s="64"/>
      <c r="K282" s="64"/>
      <c r="L282" s="64"/>
      <c r="M282" s="64"/>
      <c r="N282" s="64"/>
    </row>
    <row r="283" spans="2:14" s="93" customFormat="1">
      <c r="B283" s="94"/>
      <c r="G283" s="64"/>
      <c r="H283" s="64"/>
      <c r="I283" s="64"/>
      <c r="J283" s="64"/>
      <c r="K283" s="64"/>
      <c r="L283" s="64"/>
      <c r="M283" s="64"/>
      <c r="N283" s="64"/>
    </row>
    <row r="284" spans="2:14" s="93" customFormat="1">
      <c r="B284" s="94"/>
      <c r="G284" s="64"/>
      <c r="H284" s="64"/>
      <c r="I284" s="64"/>
      <c r="J284" s="64"/>
      <c r="K284" s="64"/>
      <c r="L284" s="64"/>
      <c r="M284" s="64"/>
      <c r="N284" s="64"/>
    </row>
    <row r="285" spans="2:14" s="93" customFormat="1">
      <c r="B285" s="94"/>
      <c r="G285" s="64"/>
      <c r="H285" s="64"/>
      <c r="I285" s="64"/>
      <c r="J285" s="64"/>
      <c r="K285" s="64"/>
      <c r="L285" s="64"/>
      <c r="M285" s="64"/>
      <c r="N285" s="64"/>
    </row>
    <row r="286" spans="2:14" s="93" customFormat="1">
      <c r="B286" s="94"/>
      <c r="G286" s="64"/>
      <c r="H286" s="64"/>
      <c r="I286" s="64"/>
      <c r="J286" s="64"/>
      <c r="K286" s="64"/>
      <c r="L286" s="64"/>
      <c r="M286" s="64"/>
      <c r="N286" s="64"/>
    </row>
    <row r="287" spans="2:14" s="93" customFormat="1">
      <c r="B287" s="94"/>
      <c r="G287" s="64"/>
      <c r="H287" s="64"/>
      <c r="I287" s="64"/>
      <c r="J287" s="64"/>
      <c r="K287" s="64"/>
      <c r="L287" s="64"/>
      <c r="M287" s="64"/>
      <c r="N287" s="64"/>
    </row>
    <row r="288" spans="2:14" s="93" customFormat="1">
      <c r="B288" s="94"/>
      <c r="G288" s="64"/>
      <c r="H288" s="64"/>
      <c r="I288" s="64"/>
      <c r="J288" s="64"/>
      <c r="K288" s="64"/>
      <c r="L288" s="64"/>
      <c r="M288" s="64"/>
      <c r="N288" s="64"/>
    </row>
    <row r="289" spans="2:14" s="93" customFormat="1">
      <c r="B289" s="94"/>
      <c r="G289" s="64"/>
      <c r="H289" s="64"/>
      <c r="I289" s="64"/>
      <c r="J289" s="64"/>
      <c r="K289" s="64"/>
      <c r="L289" s="64"/>
      <c r="M289" s="64"/>
      <c r="N289" s="64"/>
    </row>
  </sheetData>
  <mergeCells count="88">
    <mergeCell ref="B1:K1"/>
    <mergeCell ref="C9:G9"/>
    <mergeCell ref="D10:G10"/>
    <mergeCell ref="F11:G11"/>
    <mergeCell ref="F12:G12"/>
    <mergeCell ref="F19:G19"/>
    <mergeCell ref="F24:G24"/>
    <mergeCell ref="D25:G25"/>
    <mergeCell ref="D26:G26"/>
    <mergeCell ref="D27:G27"/>
    <mergeCell ref="F28:G28"/>
    <mergeCell ref="F29:G29"/>
    <mergeCell ref="F30:G30"/>
    <mergeCell ref="D31:G31"/>
    <mergeCell ref="D32:G32"/>
    <mergeCell ref="D33:G33"/>
    <mergeCell ref="D34:G34"/>
    <mergeCell ref="D35:G35"/>
    <mergeCell ref="C38:G38"/>
    <mergeCell ref="D39:G39"/>
    <mergeCell ref="F40:G40"/>
    <mergeCell ref="F41:G41"/>
    <mergeCell ref="D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D60:G60"/>
    <mergeCell ref="F61:G61"/>
    <mergeCell ref="F62:G62"/>
    <mergeCell ref="F63:G63"/>
    <mergeCell ref="D64:G64"/>
    <mergeCell ref="D65:G65"/>
    <mergeCell ref="D66:G66"/>
    <mergeCell ref="F67:G67"/>
    <mergeCell ref="F68:G68"/>
    <mergeCell ref="F69:G69"/>
    <mergeCell ref="F70:G70"/>
    <mergeCell ref="F71:G71"/>
    <mergeCell ref="D72:G72"/>
    <mergeCell ref="D73:G73"/>
    <mergeCell ref="F74:G74"/>
    <mergeCell ref="F75:G75"/>
    <mergeCell ref="F76:G76"/>
    <mergeCell ref="D77:G77"/>
    <mergeCell ref="D78:G78"/>
    <mergeCell ref="F79:G79"/>
    <mergeCell ref="F80:G80"/>
    <mergeCell ref="D81:G81"/>
    <mergeCell ref="F82:G82"/>
    <mergeCell ref="F83:G83"/>
    <mergeCell ref="F84:G84"/>
    <mergeCell ref="F85:G85"/>
    <mergeCell ref="B88:G88"/>
    <mergeCell ref="C90:G90"/>
    <mergeCell ref="D91:G91"/>
    <mergeCell ref="D92:G92"/>
    <mergeCell ref="C95:G95"/>
    <mergeCell ref="D96:G96"/>
    <mergeCell ref="D97:G97"/>
    <mergeCell ref="C100:G100"/>
    <mergeCell ref="D101:G101"/>
    <mergeCell ref="F102:G102"/>
    <mergeCell ref="F103:G103"/>
    <mergeCell ref="D104:G104"/>
    <mergeCell ref="F115:G115"/>
    <mergeCell ref="F116:G116"/>
    <mergeCell ref="D117:G117"/>
    <mergeCell ref="D118:G118"/>
    <mergeCell ref="F105:G105"/>
    <mergeCell ref="F106:G106"/>
    <mergeCell ref="C111:G111"/>
    <mergeCell ref="D112:G112"/>
    <mergeCell ref="F113:G113"/>
    <mergeCell ref="F114:G114"/>
  </mergeCells>
  <phoneticPr fontId="3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5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89"/>
  <sheetViews>
    <sheetView showGridLines="0" tabSelected="1" view="pageBreakPreview" zoomScale="85" zoomScaleNormal="75" zoomScaleSheetLayoutView="85" workbookViewId="0">
      <pane xSplit="7" ySplit="8" topLeftCell="H96" activePane="bottomRight" state="frozen"/>
      <selection activeCell="F40" sqref="F40:G40"/>
      <selection pane="topRight" activeCell="F40" sqref="F40:G40"/>
      <selection pane="bottomLeft" activeCell="F40" sqref="F40:G40"/>
      <selection pane="bottomRight" activeCell="Q113" sqref="Q113"/>
    </sheetView>
  </sheetViews>
  <sheetFormatPr defaultColWidth="10.42578125" defaultRowHeight="15"/>
  <cols>
    <col min="1" max="1" width="10.42578125" style="64"/>
    <col min="2" max="2" width="4" style="93" customWidth="1"/>
    <col min="3" max="3" width="4.5703125" style="93" customWidth="1"/>
    <col min="4" max="4" width="2.5703125" style="93" customWidth="1"/>
    <col min="5" max="6" width="4" style="93" customWidth="1"/>
    <col min="7" max="7" width="59.5703125" style="64" customWidth="1"/>
    <col min="8" max="8" width="21.85546875" style="64" customWidth="1"/>
    <col min="9" max="9" width="22.42578125" style="64" customWidth="1"/>
    <col min="10" max="10" width="19" style="64" bestFit="1" customWidth="1"/>
    <col min="11" max="11" width="15.28515625" style="64" bestFit="1" customWidth="1"/>
    <col min="12" max="12" width="1.28515625" style="64" customWidth="1"/>
    <col min="13" max="13" width="23.42578125" style="64" customWidth="1"/>
    <col min="14" max="16384" width="10.42578125" style="64"/>
  </cols>
  <sheetData>
    <row r="1" spans="1:13" s="52" customFormat="1" ht="36.75" customHeight="1">
      <c r="B1" s="627" t="s">
        <v>1439</v>
      </c>
      <c r="C1" s="627"/>
      <c r="D1" s="627"/>
      <c r="E1" s="627"/>
      <c r="F1" s="627"/>
      <c r="G1" s="627"/>
      <c r="H1" s="627"/>
      <c r="I1" s="627"/>
      <c r="J1" s="627"/>
      <c r="K1" s="627"/>
      <c r="L1" s="53"/>
      <c r="M1" s="53"/>
    </row>
    <row r="2" spans="1:13" s="52" customFormat="1">
      <c r="B2" s="54"/>
      <c r="C2" s="54"/>
      <c r="D2" s="54"/>
      <c r="E2" s="54"/>
      <c r="F2" s="54"/>
      <c r="G2" s="54"/>
    </row>
    <row r="3" spans="1:13" s="52" customFormat="1" ht="15.75" thickBot="1">
      <c r="B3" s="54"/>
      <c r="C3" s="54"/>
      <c r="D3" s="54"/>
      <c r="E3" s="54"/>
      <c r="F3" s="54"/>
      <c r="G3" s="54"/>
    </row>
    <row r="4" spans="1:13" s="55" customFormat="1" ht="27.6" customHeight="1">
      <c r="B4" s="56" t="s">
        <v>2845</v>
      </c>
      <c r="C4" s="57"/>
      <c r="D4" s="57"/>
      <c r="E4" s="57"/>
      <c r="F4" s="57"/>
      <c r="G4" s="57"/>
      <c r="H4" s="57"/>
      <c r="I4" s="289"/>
      <c r="J4" s="632" t="s">
        <v>4371</v>
      </c>
      <c r="K4" s="633"/>
      <c r="L4" s="633"/>
      <c r="M4" s="634"/>
    </row>
    <row r="5" spans="1:13" s="55" customFormat="1" ht="27.6" customHeight="1" thickBot="1">
      <c r="B5" s="60"/>
      <c r="C5" s="61"/>
      <c r="D5" s="61"/>
      <c r="E5" s="61"/>
      <c r="F5" s="61"/>
      <c r="G5" s="61"/>
      <c r="H5" s="61"/>
      <c r="I5" s="288"/>
      <c r="J5" s="290"/>
      <c r="K5" s="291"/>
      <c r="L5" s="292"/>
      <c r="M5" s="293"/>
    </row>
    <row r="6" spans="1:13" ht="15" customHeight="1" thickBot="1">
      <c r="B6" s="65"/>
      <c r="C6" s="65"/>
      <c r="D6" s="65"/>
      <c r="E6" s="65"/>
      <c r="F6" s="65"/>
      <c r="G6" s="65"/>
      <c r="H6" s="66"/>
    </row>
    <row r="7" spans="1:13" ht="39.75" customHeight="1">
      <c r="B7" s="67" t="s">
        <v>3684</v>
      </c>
      <c r="C7" s="68"/>
      <c r="D7" s="68"/>
      <c r="E7" s="68"/>
      <c r="F7" s="68"/>
      <c r="G7" s="69"/>
      <c r="H7" s="284" t="s">
        <v>3775</v>
      </c>
      <c r="I7" s="284" t="s">
        <v>4367</v>
      </c>
      <c r="J7" s="71" t="str">
        <f>CONCATENATE("VARIAZIONE ",  H8, " / ", I8)</f>
        <v>VARIAZIONE 2020 / 2019</v>
      </c>
      <c r="K7" s="72"/>
      <c r="M7" s="294" t="s">
        <v>283</v>
      </c>
    </row>
    <row r="8" spans="1:13" ht="23.25" customHeight="1">
      <c r="B8" s="73"/>
      <c r="C8" s="74"/>
      <c r="D8" s="74"/>
      <c r="E8" s="74"/>
      <c r="F8" s="74"/>
      <c r="G8" s="75"/>
      <c r="H8" s="76">
        <f>'pdc2019'!Q3</f>
        <v>2020</v>
      </c>
      <c r="I8" s="76">
        <f>'pdc2019'!P3</f>
        <v>2019</v>
      </c>
      <c r="J8" s="77" t="s">
        <v>2848</v>
      </c>
      <c r="K8" s="78" t="s">
        <v>3174</v>
      </c>
      <c r="M8" s="295">
        <f>'pdc2019'!N3</f>
        <v>2018</v>
      </c>
    </row>
    <row r="9" spans="1:13" s="79" customFormat="1">
      <c r="A9" s="209"/>
      <c r="B9" s="210" t="s">
        <v>3182</v>
      </c>
      <c r="C9" s="630" t="s">
        <v>1441</v>
      </c>
      <c r="D9" s="630"/>
      <c r="E9" s="630"/>
      <c r="F9" s="630"/>
      <c r="G9" s="631"/>
      <c r="H9" s="211"/>
      <c r="I9" s="211"/>
      <c r="J9" s="212"/>
      <c r="K9" s="213"/>
      <c r="L9" s="214"/>
      <c r="M9" s="296"/>
    </row>
    <row r="10" spans="1:13" s="79" customFormat="1">
      <c r="A10" s="209"/>
      <c r="B10" s="215"/>
      <c r="C10" s="216" t="s">
        <v>2849</v>
      </c>
      <c r="D10" s="628" t="s">
        <v>2850</v>
      </c>
      <c r="E10" s="628"/>
      <c r="F10" s="628"/>
      <c r="G10" s="629"/>
      <c r="H10" s="217">
        <f>H11+H12+H19+H24</f>
        <v>1252767942.5699999</v>
      </c>
      <c r="I10" s="217">
        <f>I11+I12+I19+I24</f>
        <v>1238103106.9300001</v>
      </c>
      <c r="J10" s="218">
        <f t="shared" ref="J10:J36" si="0">H10-I10</f>
        <v>14664835.639999866</v>
      </c>
      <c r="K10" s="219">
        <f t="shared" ref="K10:K36" si="1">IF(I10=0,"-    ",J10/I10)</f>
        <v>1.1844599660494179E-2</v>
      </c>
      <c r="L10" s="214"/>
      <c r="M10" s="297">
        <f>M11+M12+M19+M24</f>
        <v>1197309589.2400002</v>
      </c>
    </row>
    <row r="11" spans="1:13" s="55" customFormat="1" ht="30" customHeight="1">
      <c r="A11" s="209" t="s">
        <v>451</v>
      </c>
      <c r="B11" s="221"/>
      <c r="C11" s="222"/>
      <c r="D11" s="223"/>
      <c r="E11" s="222" t="s">
        <v>2851</v>
      </c>
      <c r="F11" s="625" t="s">
        <v>2852</v>
      </c>
      <c r="G11" s="626"/>
      <c r="H11" s="225">
        <f>SUMIF('pdc2019'!$J$8:$J$1169,'CE statale'!$A11,'pdc2019'!$Q$8:$Q$1169)</f>
        <v>1203982641.27</v>
      </c>
      <c r="I11" s="225">
        <f>SUMIF('pdc2019'!$J$8:$J$1169,'CE statale'!$A11,'pdc2019'!$P$8:$P$1169)</f>
        <v>1214399062.9400001</v>
      </c>
      <c r="J11" s="226">
        <f t="shared" si="0"/>
        <v>-10416421.670000076</v>
      </c>
      <c r="K11" s="227">
        <f t="shared" si="1"/>
        <v>-8.5774289423300731E-3</v>
      </c>
      <c r="L11" s="209"/>
      <c r="M11" s="298">
        <f>SUMIF('pdc2019'!$J$8:$J$1169,'CE statale'!$A11,'pdc2019'!$N$8:$N$1169)</f>
        <v>1175424308.7</v>
      </c>
    </row>
    <row r="12" spans="1:13" s="55" customFormat="1">
      <c r="A12" s="209"/>
      <c r="B12" s="221"/>
      <c r="C12" s="222"/>
      <c r="D12" s="223"/>
      <c r="E12" s="222" t="s">
        <v>2853</v>
      </c>
      <c r="F12" s="625" t="s">
        <v>2854</v>
      </c>
      <c r="G12" s="626"/>
      <c r="H12" s="225">
        <f>SUM(H13:H18)</f>
        <v>48288000</v>
      </c>
      <c r="I12" s="225">
        <f>SUM(I13:I18)</f>
        <v>23423000</v>
      </c>
      <c r="J12" s="226">
        <f t="shared" si="0"/>
        <v>24865000</v>
      </c>
      <c r="K12" s="227">
        <f t="shared" si="1"/>
        <v>1.0615634205695257</v>
      </c>
      <c r="L12" s="209"/>
      <c r="M12" s="298">
        <f>SUM(M13:M18)</f>
        <v>21792095.649999999</v>
      </c>
    </row>
    <row r="13" spans="1:13" s="80" customFormat="1">
      <c r="A13" s="209" t="s">
        <v>2855</v>
      </c>
      <c r="B13" s="229"/>
      <c r="C13" s="230"/>
      <c r="D13" s="231"/>
      <c r="E13" s="230"/>
      <c r="F13" s="232" t="s">
        <v>2849</v>
      </c>
      <c r="G13" s="236" t="s">
        <v>2856</v>
      </c>
      <c r="H13" s="233">
        <f>SUMIF('pdc2019'!$J$8:$J$1169,'CE statale'!$A13,'pdc2019'!$Q$8:$Q$1169)</f>
        <v>0</v>
      </c>
      <c r="I13" s="233">
        <f>SUMIF('pdc2019'!$J$8:$J$1169,'CE statale'!$A13,'pdc2019'!$P$8:$P$1169)</f>
        <v>0</v>
      </c>
      <c r="J13" s="233">
        <f t="shared" si="0"/>
        <v>0</v>
      </c>
      <c r="K13" s="227" t="str">
        <f t="shared" si="1"/>
        <v xml:space="preserve">-    </v>
      </c>
      <c r="L13" s="234"/>
      <c r="M13" s="299">
        <f>SUMIF('pdc2019'!$J$8:$J$1169,'CE statale'!$A13,'pdc2019'!$N$8:$N$1169)</f>
        <v>0</v>
      </c>
    </row>
    <row r="14" spans="1:13" s="80" customFormat="1" ht="30" customHeight="1">
      <c r="A14" s="234" t="s">
        <v>2857</v>
      </c>
      <c r="B14" s="229"/>
      <c r="C14" s="230"/>
      <c r="D14" s="231"/>
      <c r="E14" s="230"/>
      <c r="F14" s="232" t="s">
        <v>2858</v>
      </c>
      <c r="G14" s="236" t="s">
        <v>2859</v>
      </c>
      <c r="H14" s="233">
        <f>SUMIF('pdc2019'!$J$8:$J$1169,'CE statale'!$A14,'pdc2019'!$Q$8:$Q$1169)</f>
        <v>0</v>
      </c>
      <c r="I14" s="233">
        <f>SUMIF('pdc2019'!$J$8:$J$1169,'CE statale'!$A14,'pdc2019'!$P$8:$P$1169)</f>
        <v>0</v>
      </c>
      <c r="J14" s="233">
        <f t="shared" si="0"/>
        <v>0</v>
      </c>
      <c r="K14" s="227" t="str">
        <f t="shared" si="1"/>
        <v xml:space="preserve">-    </v>
      </c>
      <c r="L14" s="234"/>
      <c r="M14" s="299">
        <f>SUMIF('pdc2019'!$J$8:$J$1169,'CE statale'!$A14,'pdc2019'!$N$8:$N$1169)</f>
        <v>0</v>
      </c>
    </row>
    <row r="15" spans="1:13" s="80" customFormat="1" ht="30" customHeight="1">
      <c r="A15" s="209" t="s">
        <v>2860</v>
      </c>
      <c r="B15" s="229"/>
      <c r="C15" s="230"/>
      <c r="D15" s="231"/>
      <c r="E15" s="230"/>
      <c r="F15" s="232" t="s">
        <v>2861</v>
      </c>
      <c r="G15" s="236" t="s">
        <v>2862</v>
      </c>
      <c r="H15" s="233">
        <f>SUMIF('pdc2019'!$J$8:$J$1169,'CE statale'!$A15,'pdc2019'!$Q$8:$Q$1169)</f>
        <v>48288000</v>
      </c>
      <c r="I15" s="233">
        <f>SUMIF('pdc2019'!$J$8:$J$1169,'CE statale'!$A15,'pdc2019'!$P$8:$P$1169)</f>
        <v>22823000</v>
      </c>
      <c r="J15" s="233">
        <f t="shared" si="0"/>
        <v>25465000</v>
      </c>
      <c r="K15" s="227">
        <f t="shared" si="1"/>
        <v>1.1157604171230775</v>
      </c>
      <c r="L15" s="234"/>
      <c r="M15" s="299">
        <f>SUMIF('pdc2019'!$J$8:$J$1169,'CE statale'!$A15,'pdc2019'!$N$8:$N$1169)</f>
        <v>21792095.649999999</v>
      </c>
    </row>
    <row r="16" spans="1:13" s="80" customFormat="1">
      <c r="A16" s="234" t="s">
        <v>2863</v>
      </c>
      <c r="B16" s="229"/>
      <c r="C16" s="230"/>
      <c r="D16" s="231"/>
      <c r="E16" s="230"/>
      <c r="F16" s="232" t="s">
        <v>2864</v>
      </c>
      <c r="G16" s="236" t="s">
        <v>2865</v>
      </c>
      <c r="H16" s="233">
        <f>SUMIF('pdc2019'!$J$8:$J$1169,'CE statale'!$A16,'pdc2019'!$Q$8:$Q$1169)</f>
        <v>0</v>
      </c>
      <c r="I16" s="233">
        <f>SUMIF('pdc2019'!$J$8:$J$1169,'CE statale'!$A16,'pdc2019'!$P$8:$P$1169)</f>
        <v>600000</v>
      </c>
      <c r="J16" s="233">
        <f t="shared" si="0"/>
        <v>-600000</v>
      </c>
      <c r="K16" s="227">
        <f t="shared" si="1"/>
        <v>-1</v>
      </c>
      <c r="L16" s="234"/>
      <c r="M16" s="299">
        <f>SUMIF('pdc2019'!$J$8:$J$1169,'CE statale'!$A16,'pdc2019'!$N$8:$N$1169)</f>
        <v>0</v>
      </c>
    </row>
    <row r="17" spans="1:13" s="80" customFormat="1">
      <c r="A17" s="209" t="s">
        <v>3536</v>
      </c>
      <c r="B17" s="229"/>
      <c r="C17" s="230"/>
      <c r="D17" s="231"/>
      <c r="E17" s="230"/>
      <c r="F17" s="232" t="s">
        <v>3537</v>
      </c>
      <c r="G17" s="236" t="s">
        <v>3538</v>
      </c>
      <c r="H17" s="233">
        <f>SUMIF('pdc2019'!$J$8:$J$1169,'CE statale'!$A17,'pdc2019'!$Q$8:$Q$1169)</f>
        <v>0</v>
      </c>
      <c r="I17" s="233">
        <f>SUMIF('pdc2019'!$J$8:$J$1169,'CE statale'!$A17,'pdc2019'!$P$8:$P$1169)</f>
        <v>0</v>
      </c>
      <c r="J17" s="233">
        <f t="shared" si="0"/>
        <v>0</v>
      </c>
      <c r="K17" s="237" t="str">
        <f t="shared" si="1"/>
        <v xml:space="preserve">-    </v>
      </c>
      <c r="L17" s="234"/>
      <c r="M17" s="299">
        <f>SUMIF('pdc2019'!$J$8:$J$1169,'CE statale'!$A17,'pdc2019'!$N$8:$N$1169)</f>
        <v>0</v>
      </c>
    </row>
    <row r="18" spans="1:13" s="80" customFormat="1">
      <c r="A18" s="234" t="s">
        <v>3539</v>
      </c>
      <c r="B18" s="229"/>
      <c r="C18" s="230"/>
      <c r="D18" s="231"/>
      <c r="E18" s="230"/>
      <c r="F18" s="232" t="s">
        <v>3540</v>
      </c>
      <c r="G18" s="236" t="s">
        <v>3541</v>
      </c>
      <c r="H18" s="233">
        <f>SUMIF('pdc2019'!$J$8:$J$1169,'CE statale'!$A18,'pdc2019'!$Q$8:$Q$1169)</f>
        <v>0</v>
      </c>
      <c r="I18" s="233">
        <f>SUMIF('pdc2019'!$J$8:$J$1169,'CE statale'!$A18,'pdc2019'!$P$8:$P$1169)</f>
        <v>0</v>
      </c>
      <c r="J18" s="233">
        <f t="shared" si="0"/>
        <v>0</v>
      </c>
      <c r="K18" s="227" t="str">
        <f t="shared" si="1"/>
        <v xml:space="preserve">-    </v>
      </c>
      <c r="L18" s="234"/>
      <c r="M18" s="299">
        <f>SUMIF('pdc2019'!$J$8:$J$1169,'CE statale'!$A18,'pdc2019'!$N$8:$N$1169)</f>
        <v>0</v>
      </c>
    </row>
    <row r="19" spans="1:13" s="55" customFormat="1">
      <c r="A19" s="209"/>
      <c r="B19" s="221"/>
      <c r="C19" s="222"/>
      <c r="D19" s="223"/>
      <c r="E19" s="222" t="s">
        <v>3542</v>
      </c>
      <c r="F19" s="625" t="s">
        <v>3543</v>
      </c>
      <c r="G19" s="626"/>
      <c r="H19" s="225">
        <f>SUM(H20:H23)</f>
        <v>497301.3</v>
      </c>
      <c r="I19" s="225">
        <f>SUM(I20:I23)</f>
        <v>281043.99</v>
      </c>
      <c r="J19" s="226">
        <f t="shared" si="0"/>
        <v>216257.31</v>
      </c>
      <c r="K19" s="227">
        <f t="shared" si="1"/>
        <v>0.76947850761725956</v>
      </c>
      <c r="L19" s="209"/>
      <c r="M19" s="298">
        <f>SUM(M20:M23)</f>
        <v>93184.89</v>
      </c>
    </row>
    <row r="20" spans="1:13" s="55" customFormat="1">
      <c r="A20" s="209" t="s">
        <v>3544</v>
      </c>
      <c r="B20" s="221"/>
      <c r="C20" s="222"/>
      <c r="D20" s="223"/>
      <c r="E20" s="223"/>
      <c r="F20" s="238" t="s">
        <v>2849</v>
      </c>
      <c r="G20" s="236" t="s">
        <v>3545</v>
      </c>
      <c r="H20" s="233">
        <f>SUMIF('pdc2019'!$J$8:$J$1169,'CE statale'!$A20,'pdc2019'!$Q$8:$Q$1169)</f>
        <v>0</v>
      </c>
      <c r="I20" s="233">
        <f>SUMIF('pdc2019'!$J$8:$J$1169,'CE statale'!$A20,'pdc2019'!$P$8:$P$1169)</f>
        <v>0</v>
      </c>
      <c r="J20" s="233">
        <f t="shared" si="0"/>
        <v>0</v>
      </c>
      <c r="K20" s="239" t="str">
        <f t="shared" si="1"/>
        <v xml:space="preserve">-    </v>
      </c>
      <c r="L20" s="209"/>
      <c r="M20" s="299">
        <f>SUMIF('pdc2019'!$J$8:$J$1169,'CE statale'!$A20,'pdc2019'!$N$8:$N$1169)</f>
        <v>0</v>
      </c>
    </row>
    <row r="21" spans="1:13" s="55" customFormat="1">
      <c r="A21" s="209" t="s">
        <v>3490</v>
      </c>
      <c r="B21" s="221"/>
      <c r="C21" s="222"/>
      <c r="D21" s="223"/>
      <c r="E21" s="223"/>
      <c r="F21" s="238" t="s">
        <v>2858</v>
      </c>
      <c r="G21" s="236" t="s">
        <v>3546</v>
      </c>
      <c r="H21" s="233">
        <f>SUMIF('pdc2019'!$J$8:$J$1169,'CE statale'!$A21,'pdc2019'!$Q$8:$Q$1169)</f>
        <v>47301.3</v>
      </c>
      <c r="I21" s="233">
        <f>SUMIF('pdc2019'!$J$8:$J$1169,'CE statale'!$A21,'pdc2019'!$P$8:$P$1169)</f>
        <v>81043.990000000005</v>
      </c>
      <c r="J21" s="233">
        <f t="shared" si="0"/>
        <v>-33742.69</v>
      </c>
      <c r="K21" s="239">
        <f t="shared" si="1"/>
        <v>-0.41635030555627878</v>
      </c>
      <c r="L21" s="209"/>
      <c r="M21" s="299">
        <f>SUMIF('pdc2019'!$J$8:$J$1169,'CE statale'!$A21,'pdc2019'!$N$8:$N$1169)</f>
        <v>47301.3</v>
      </c>
    </row>
    <row r="22" spans="1:13" s="55" customFormat="1">
      <c r="A22" s="209" t="s">
        <v>3044</v>
      </c>
      <c r="B22" s="221"/>
      <c r="C22" s="222"/>
      <c r="D22" s="223"/>
      <c r="E22" s="223"/>
      <c r="F22" s="238" t="s">
        <v>2861</v>
      </c>
      <c r="G22" s="236" t="s">
        <v>3547</v>
      </c>
      <c r="H22" s="233">
        <f>SUMIF('pdc2019'!$J$8:$J$1169,'CE statale'!$A22,'pdc2019'!$Q$8:$Q$1169)</f>
        <v>450000</v>
      </c>
      <c r="I22" s="233">
        <f>SUMIF('pdc2019'!$J$8:$J$1169,'CE statale'!$A22,'pdc2019'!$P$8:$P$1169)</f>
        <v>200000</v>
      </c>
      <c r="J22" s="233">
        <f t="shared" si="0"/>
        <v>250000</v>
      </c>
      <c r="K22" s="239">
        <f t="shared" si="1"/>
        <v>1.25</v>
      </c>
      <c r="L22" s="209"/>
      <c r="M22" s="299">
        <f>SUMIF('pdc2019'!$J$8:$J$1169,'CE statale'!$A22,'pdc2019'!$N$8:$N$1169)</f>
        <v>45883.59</v>
      </c>
    </row>
    <row r="23" spans="1:13" s="55" customFormat="1">
      <c r="A23" s="209" t="s">
        <v>3499</v>
      </c>
      <c r="B23" s="221"/>
      <c r="C23" s="222"/>
      <c r="D23" s="223"/>
      <c r="E23" s="223"/>
      <c r="F23" s="238" t="s">
        <v>2864</v>
      </c>
      <c r="G23" s="236" t="s">
        <v>3548</v>
      </c>
      <c r="H23" s="233">
        <f>SUMIF('pdc2019'!$J$8:$J$1169,'CE statale'!$A23,'pdc2019'!$Q$8:$Q$1169)</f>
        <v>0</v>
      </c>
      <c r="I23" s="233">
        <f>SUMIF('pdc2019'!$J$8:$J$1169,'CE statale'!$A23,'pdc2019'!$P$8:$P$1169)</f>
        <v>0</v>
      </c>
      <c r="J23" s="233">
        <f t="shared" si="0"/>
        <v>0</v>
      </c>
      <c r="K23" s="239" t="str">
        <f t="shared" si="1"/>
        <v xml:space="preserve">-    </v>
      </c>
      <c r="L23" s="209"/>
      <c r="M23" s="299">
        <f>SUMIF('pdc2019'!$J$8:$J$1169,'CE statale'!$A23,'pdc2019'!$N$8:$N$1169)</f>
        <v>0</v>
      </c>
    </row>
    <row r="24" spans="1:13" s="55" customFormat="1">
      <c r="A24" s="209" t="s">
        <v>3549</v>
      </c>
      <c r="B24" s="221"/>
      <c r="C24" s="222"/>
      <c r="D24" s="223"/>
      <c r="E24" s="222" t="s">
        <v>3550</v>
      </c>
      <c r="F24" s="625" t="s">
        <v>3551</v>
      </c>
      <c r="G24" s="626"/>
      <c r="H24" s="225">
        <f>SUMIF('pdc2019'!$J$8:$J$1169,'CE statale'!$A24,'pdc2019'!$Q$8:$Q$1169)</f>
        <v>0</v>
      </c>
      <c r="I24" s="233">
        <f>SUMIF('pdc2019'!$J$8:$J$1169,'CE statale'!$A24,'pdc2019'!$P$8:$P$1169)</f>
        <v>0</v>
      </c>
      <c r="J24" s="226">
        <f t="shared" si="0"/>
        <v>0</v>
      </c>
      <c r="K24" s="227" t="str">
        <f t="shared" si="1"/>
        <v xml:space="preserve">-    </v>
      </c>
      <c r="L24" s="209"/>
      <c r="M24" s="299">
        <f>SUMIF('pdc2019'!$J$8:$J$1169,'CE statale'!$A24,'pdc2019'!$N$8:$N$1169)</f>
        <v>0</v>
      </c>
    </row>
    <row r="25" spans="1:13" s="79" customFormat="1">
      <c r="A25" s="209" t="s">
        <v>3552</v>
      </c>
      <c r="B25" s="240"/>
      <c r="C25" s="216" t="s">
        <v>2858</v>
      </c>
      <c r="D25" s="628" t="s">
        <v>3553</v>
      </c>
      <c r="E25" s="628"/>
      <c r="F25" s="628"/>
      <c r="G25" s="629"/>
      <c r="H25" s="217">
        <f>SUMIF('pdc2019'!$J$8:$J$1169,'CE statale'!$A25,'pdc2019'!$Q$8:$Q$1169)</f>
        <v>0</v>
      </c>
      <c r="I25" s="217">
        <f>SUMIF('pdc2019'!$J$8:$J$1169,'CE statale'!$A25,'pdc2019'!$P$8:$P$1169)</f>
        <v>0</v>
      </c>
      <c r="J25" s="218">
        <f t="shared" si="0"/>
        <v>0</v>
      </c>
      <c r="K25" s="219" t="str">
        <f t="shared" si="1"/>
        <v xml:space="preserve">-    </v>
      </c>
      <c r="L25" s="214"/>
      <c r="M25" s="297">
        <f>SUMIF('pdc2019'!$J$8:$J$1169,'CE statale'!$A25,'pdc2019'!$N$8:$N$1169)</f>
        <v>-1628.07</v>
      </c>
    </row>
    <row r="26" spans="1:13" s="79" customFormat="1">
      <c r="A26" s="209" t="s">
        <v>3514</v>
      </c>
      <c r="B26" s="240"/>
      <c r="C26" s="216" t="s">
        <v>2861</v>
      </c>
      <c r="D26" s="628" t="s">
        <v>3554</v>
      </c>
      <c r="E26" s="628"/>
      <c r="F26" s="628"/>
      <c r="G26" s="629"/>
      <c r="H26" s="217">
        <f>SUMIF('pdc2019'!$J$8:$J$1169,'CE statale'!$A26,'pdc2019'!$Q$8:$Q$1169)</f>
        <v>0</v>
      </c>
      <c r="I26" s="217">
        <f>SUMIF('pdc2019'!$J$8:$J$1169,'CE statale'!$A26,'pdc2019'!$P$8:$P$1169)</f>
        <v>0</v>
      </c>
      <c r="J26" s="218">
        <f t="shared" si="0"/>
        <v>0</v>
      </c>
      <c r="K26" s="219" t="str">
        <f t="shared" si="1"/>
        <v xml:space="preserve">-    </v>
      </c>
      <c r="L26" s="214"/>
      <c r="M26" s="297">
        <f>SUMIF('pdc2019'!$J$8:$J$1169,'CE statale'!$A26,'pdc2019'!$N$8:$N$1169)</f>
        <v>0</v>
      </c>
    </row>
    <row r="27" spans="1:13" s="79" customFormat="1">
      <c r="A27" s="209"/>
      <c r="B27" s="215"/>
      <c r="C27" s="216" t="s">
        <v>2864</v>
      </c>
      <c r="D27" s="628" t="s">
        <v>3555</v>
      </c>
      <c r="E27" s="628"/>
      <c r="F27" s="628"/>
      <c r="G27" s="629"/>
      <c r="H27" s="217">
        <f>SUM(H28:H30)</f>
        <v>63818000</v>
      </c>
      <c r="I27" s="217">
        <f>SUM(I28:I30)</f>
        <v>62325000</v>
      </c>
      <c r="J27" s="218">
        <f t="shared" si="0"/>
        <v>1493000</v>
      </c>
      <c r="K27" s="219">
        <f t="shared" si="1"/>
        <v>2.3955074207781788E-2</v>
      </c>
      <c r="L27" s="214"/>
      <c r="M27" s="297">
        <f>SUM(M28:M30)</f>
        <v>62686886.729999997</v>
      </c>
    </row>
    <row r="28" spans="1:13" s="55" customFormat="1" ht="30" customHeight="1">
      <c r="A28" s="209" t="s">
        <v>3305</v>
      </c>
      <c r="B28" s="221"/>
      <c r="C28" s="222"/>
      <c r="D28" s="223"/>
      <c r="E28" s="222" t="s">
        <v>2851</v>
      </c>
      <c r="F28" s="625" t="s">
        <v>3557</v>
      </c>
      <c r="G28" s="626"/>
      <c r="H28" s="225">
        <f>SUMIF('pdc2019'!$J$8:$J$1169,'CE statale'!$A28,'pdc2019'!$Q$8:$Q$1169)</f>
        <v>45979000</v>
      </c>
      <c r="I28" s="225">
        <f>SUMIF('pdc2019'!$J$8:$J$1169,'CE statale'!$A28,'pdc2019'!$P$8:$P$1169)</f>
        <v>44486000</v>
      </c>
      <c r="J28" s="226">
        <f t="shared" si="0"/>
        <v>1493000</v>
      </c>
      <c r="K28" s="227">
        <f t="shared" si="1"/>
        <v>3.3561120352470442E-2</v>
      </c>
      <c r="L28" s="209"/>
      <c r="M28" s="298">
        <f>SUMIF('pdc2019'!$J$8:$J$1169,'CE statale'!$A28,'pdc2019'!$N$8:$N$1169)</f>
        <v>44600647.119999997</v>
      </c>
    </row>
    <row r="29" spans="1:13" s="55" customFormat="1">
      <c r="A29" s="209" t="s">
        <v>2946</v>
      </c>
      <c r="B29" s="221"/>
      <c r="C29" s="222"/>
      <c r="D29" s="223"/>
      <c r="E29" s="222" t="s">
        <v>2853</v>
      </c>
      <c r="F29" s="625" t="s">
        <v>3559</v>
      </c>
      <c r="G29" s="626"/>
      <c r="H29" s="225">
        <f>SUMIF('pdc2019'!$J$8:$J$1169,'CE statale'!$A29,'pdc2019'!$Q$8:$Q$1169)</f>
        <v>3455000</v>
      </c>
      <c r="I29" s="225">
        <f>SUMIF('pdc2019'!$J$8:$J$1169,'CE statale'!$A29,'pdc2019'!$P$8:$P$1169)</f>
        <v>3455000</v>
      </c>
      <c r="J29" s="226">
        <f t="shared" si="0"/>
        <v>0</v>
      </c>
      <c r="K29" s="227">
        <f t="shared" si="1"/>
        <v>0</v>
      </c>
      <c r="L29" s="209"/>
      <c r="M29" s="298">
        <f>SUMIF('pdc2019'!$J$8:$J$1169,'CE statale'!$A29,'pdc2019'!$N$8:$N$1169)</f>
        <v>3519111.9000000004</v>
      </c>
    </row>
    <row r="30" spans="1:13" s="55" customFormat="1">
      <c r="A30" s="209" t="s">
        <v>2801</v>
      </c>
      <c r="B30" s="221"/>
      <c r="C30" s="222"/>
      <c r="D30" s="223"/>
      <c r="E30" s="222" t="s">
        <v>3542</v>
      </c>
      <c r="F30" s="625" t="s">
        <v>3561</v>
      </c>
      <c r="G30" s="626"/>
      <c r="H30" s="225">
        <f>SUMIF('pdc2019'!$J$8:$J$1169,'CE statale'!$A30,'pdc2019'!$Q$8:$Q$1169)</f>
        <v>14384000</v>
      </c>
      <c r="I30" s="225">
        <f>SUMIF('pdc2019'!$J$8:$J$1169,'CE statale'!$A30,'pdc2019'!$P$8:$P$1169)</f>
        <v>14384000</v>
      </c>
      <c r="J30" s="226">
        <f t="shared" si="0"/>
        <v>0</v>
      </c>
      <c r="K30" s="227">
        <f t="shared" si="1"/>
        <v>0</v>
      </c>
      <c r="L30" s="209"/>
      <c r="M30" s="298">
        <f>SUMIF('pdc2019'!$J$8:$J$1169,'CE statale'!$A30,'pdc2019'!$N$8:$N$1169)</f>
        <v>14567127.709999999</v>
      </c>
    </row>
    <row r="31" spans="1:13" s="79" customFormat="1">
      <c r="A31" s="209" t="s">
        <v>3562</v>
      </c>
      <c r="B31" s="240"/>
      <c r="C31" s="216" t="s">
        <v>3537</v>
      </c>
      <c r="D31" s="628" t="s">
        <v>3563</v>
      </c>
      <c r="E31" s="628"/>
      <c r="F31" s="628"/>
      <c r="G31" s="629"/>
      <c r="H31" s="217">
        <f>SUMIF('pdc2019'!$J$8:$J$1169,'CE statale'!$A31,'pdc2019'!$Q$8:$Q$1169)</f>
        <v>18485000</v>
      </c>
      <c r="I31" s="217">
        <f>SUMIF('pdc2019'!$J$8:$J$1169,'CE statale'!$A31,'pdc2019'!$P$8:$P$1169)</f>
        <v>18485000</v>
      </c>
      <c r="J31" s="218">
        <f t="shared" si="0"/>
        <v>0</v>
      </c>
      <c r="K31" s="219">
        <f t="shared" si="1"/>
        <v>0</v>
      </c>
      <c r="L31" s="214"/>
      <c r="M31" s="297">
        <f>SUMIF('pdc2019'!$J$8:$J$1169,'CE statale'!$A31,'pdc2019'!$N$8:$N$1169)</f>
        <v>22147624.57</v>
      </c>
    </row>
    <row r="32" spans="1:13" s="79" customFormat="1">
      <c r="A32" s="209" t="s">
        <v>3564</v>
      </c>
      <c r="B32" s="240"/>
      <c r="C32" s="216" t="s">
        <v>3540</v>
      </c>
      <c r="D32" s="628" t="s">
        <v>3565</v>
      </c>
      <c r="E32" s="628"/>
      <c r="F32" s="628"/>
      <c r="G32" s="629"/>
      <c r="H32" s="217">
        <f>SUMIF('pdc2019'!$J$8:$J$1169,'CE statale'!$A32,'pdc2019'!$Q$8:$Q$1169)</f>
        <v>20300000</v>
      </c>
      <c r="I32" s="217">
        <f>SUMIF('pdc2019'!$J$8:$J$1169,'CE statale'!$A32,'pdc2019'!$P$8:$P$1169)</f>
        <v>20300000</v>
      </c>
      <c r="J32" s="218">
        <f t="shared" si="0"/>
        <v>0</v>
      </c>
      <c r="K32" s="219">
        <f t="shared" si="1"/>
        <v>0</v>
      </c>
      <c r="L32" s="214"/>
      <c r="M32" s="297">
        <f>SUMIF('pdc2019'!$J$8:$J$1169,'CE statale'!$A32,'pdc2019'!$N$8:$N$1169)</f>
        <v>20554351.309999999</v>
      </c>
    </row>
    <row r="33" spans="1:13" s="79" customFormat="1">
      <c r="A33" s="209" t="s">
        <v>3566</v>
      </c>
      <c r="B33" s="240"/>
      <c r="C33" s="216" t="s">
        <v>3567</v>
      </c>
      <c r="D33" s="628" t="s">
        <v>3568</v>
      </c>
      <c r="E33" s="628"/>
      <c r="F33" s="628"/>
      <c r="G33" s="629"/>
      <c r="H33" s="217">
        <f>SUMIF('pdc2019'!$J$8:$J$1169,'CE statale'!$A33,'pdc2019'!$Q$8:$Q$1169)</f>
        <v>25401000</v>
      </c>
      <c r="I33" s="217">
        <f>SUMIF('pdc2019'!$J$8:$J$1169,'CE statale'!$A33,'pdc2019'!$P$8:$P$1169)</f>
        <v>25401000</v>
      </c>
      <c r="J33" s="218">
        <f t="shared" si="0"/>
        <v>0</v>
      </c>
      <c r="K33" s="219">
        <f t="shared" si="1"/>
        <v>0</v>
      </c>
      <c r="L33" s="214"/>
      <c r="M33" s="297">
        <f>SUMIF('pdc2019'!$J$8:$J$1169,'CE statale'!$A33,'pdc2019'!$N$8:$N$1169)</f>
        <v>25402235.600000001</v>
      </c>
    </row>
    <row r="34" spans="1:13" s="79" customFormat="1">
      <c r="A34" s="209" t="s">
        <v>3569</v>
      </c>
      <c r="B34" s="240"/>
      <c r="C34" s="216" t="s">
        <v>3570</v>
      </c>
      <c r="D34" s="628" t="s">
        <v>3571</v>
      </c>
      <c r="E34" s="628"/>
      <c r="F34" s="628"/>
      <c r="G34" s="629"/>
      <c r="H34" s="217">
        <f>SUMIF('pdc2019'!$J$8:$J$1169,'CE statale'!$A34,'pdc2019'!$Q$8:$Q$1169)</f>
        <v>0</v>
      </c>
      <c r="I34" s="217">
        <f>SUMIF('pdc2019'!$J$8:$J$1169,'CE statale'!$A34,'pdc2019'!$P$8:$P$1169)</f>
        <v>0</v>
      </c>
      <c r="J34" s="218">
        <f t="shared" si="0"/>
        <v>0</v>
      </c>
      <c r="K34" s="219" t="str">
        <f t="shared" si="1"/>
        <v xml:space="preserve">-    </v>
      </c>
      <c r="L34" s="214"/>
      <c r="M34" s="297">
        <f>SUMIF('pdc2019'!$J$8:$J$1169,'CE statale'!$A34,'pdc2019'!$N$8:$N$1169)</f>
        <v>27185.11</v>
      </c>
    </row>
    <row r="35" spans="1:13" s="79" customFormat="1">
      <c r="A35" s="209" t="s">
        <v>3572</v>
      </c>
      <c r="B35" s="240"/>
      <c r="C35" s="216" t="s">
        <v>3573</v>
      </c>
      <c r="D35" s="628" t="s">
        <v>3574</v>
      </c>
      <c r="E35" s="628"/>
      <c r="F35" s="628"/>
      <c r="G35" s="629"/>
      <c r="H35" s="217">
        <f>SUMIF('pdc2019'!$J$8:$J$1169,'CE statale'!$A35,'pdc2019'!$Q$8:$Q$1169)</f>
        <v>4783600</v>
      </c>
      <c r="I35" s="217">
        <f>SUMIF('pdc2019'!$J$8:$J$1169,'CE statale'!$A35,'pdc2019'!$P$8:$P$1169)</f>
        <v>4803600</v>
      </c>
      <c r="J35" s="218">
        <f t="shared" si="0"/>
        <v>-20000</v>
      </c>
      <c r="K35" s="219">
        <f t="shared" si="1"/>
        <v>-4.1635440086601715E-3</v>
      </c>
      <c r="L35" s="214"/>
      <c r="M35" s="297">
        <f>SUMIF('pdc2019'!$J$8:$J$1169,'CE statale'!$A35,'pdc2019'!$N$8:$N$1169)</f>
        <v>4631908.5199999996</v>
      </c>
    </row>
    <row r="36" spans="1:13" s="79" customFormat="1">
      <c r="A36" s="209"/>
      <c r="B36" s="241"/>
      <c r="C36" s="242" t="s">
        <v>3575</v>
      </c>
      <c r="D36" s="242"/>
      <c r="E36" s="242"/>
      <c r="F36" s="242"/>
      <c r="G36" s="243"/>
      <c r="H36" s="244">
        <f>H10+H25+H26+H27+SUM(H31:H35)</f>
        <v>1385555542.5699999</v>
      </c>
      <c r="I36" s="244">
        <f>I10+I25+I26+I27+SUM(I31:I35)</f>
        <v>1369417706.9300001</v>
      </c>
      <c r="J36" s="245">
        <f t="shared" si="0"/>
        <v>16137835.639999866</v>
      </c>
      <c r="K36" s="246">
        <f t="shared" si="1"/>
        <v>1.178445083507656E-2</v>
      </c>
      <c r="L36" s="214"/>
      <c r="M36" s="300">
        <f>M10+M25+M26+M27+SUM(M31:M35)</f>
        <v>1332758153.0100002</v>
      </c>
    </row>
    <row r="37" spans="1:13" s="55" customFormat="1">
      <c r="A37" s="209"/>
      <c r="B37" s="248"/>
      <c r="C37" s="222"/>
      <c r="D37" s="223"/>
      <c r="E37" s="223"/>
      <c r="F37" s="223"/>
      <c r="G37" s="224"/>
      <c r="H37" s="225"/>
      <c r="I37" s="225"/>
      <c r="J37" s="226"/>
      <c r="K37" s="227"/>
      <c r="L37" s="209"/>
      <c r="M37" s="298"/>
    </row>
    <row r="38" spans="1:13" s="79" customFormat="1">
      <c r="A38" s="209"/>
      <c r="B38" s="215" t="s">
        <v>2135</v>
      </c>
      <c r="C38" s="630" t="s">
        <v>2178</v>
      </c>
      <c r="D38" s="630"/>
      <c r="E38" s="630"/>
      <c r="F38" s="630"/>
      <c r="G38" s="631"/>
      <c r="H38" s="217"/>
      <c r="I38" s="217"/>
      <c r="J38" s="218"/>
      <c r="K38" s="219"/>
      <c r="L38" s="214"/>
      <c r="M38" s="297"/>
    </row>
    <row r="39" spans="1:13" s="79" customFormat="1">
      <c r="A39" s="209"/>
      <c r="B39" s="240"/>
      <c r="C39" s="216" t="s">
        <v>2849</v>
      </c>
      <c r="D39" s="628" t="s">
        <v>2180</v>
      </c>
      <c r="E39" s="628"/>
      <c r="F39" s="628"/>
      <c r="G39" s="629"/>
      <c r="H39" s="217">
        <f>SUM(H40:H41)</f>
        <v>209161042.56999999</v>
      </c>
      <c r="I39" s="217">
        <f>SUM(I40:I41)</f>
        <v>201033500</v>
      </c>
      <c r="J39" s="218">
        <f t="shared" ref="J39:J86" si="2">H39-I39</f>
        <v>8127542.5699999928</v>
      </c>
      <c r="K39" s="219">
        <f t="shared" ref="K39:K86" si="3">IF(I39=0,"-    ",J39/I39)</f>
        <v>4.04287970412891E-2</v>
      </c>
      <c r="L39" s="214"/>
      <c r="M39" s="297">
        <f>SUM(M40:M41)</f>
        <v>189893103.14000005</v>
      </c>
    </row>
    <row r="40" spans="1:13" s="55" customFormat="1">
      <c r="A40" s="209" t="s">
        <v>3631</v>
      </c>
      <c r="B40" s="221"/>
      <c r="C40" s="222"/>
      <c r="D40" s="223"/>
      <c r="E40" s="222" t="s">
        <v>2851</v>
      </c>
      <c r="F40" s="625" t="s">
        <v>3576</v>
      </c>
      <c r="G40" s="626"/>
      <c r="H40" s="225">
        <f>SUMIF('pdc2019'!$J$8:$J$1169,'CE statale'!$A40,'pdc2019'!$Q$8:$Q$1169)</f>
        <v>190041042.56999999</v>
      </c>
      <c r="I40" s="225">
        <f>SUMIF('pdc2019'!$J$8:$J$1169,'CE statale'!$A40,'pdc2019'!$P$8:$P$1169)</f>
        <v>182388500</v>
      </c>
      <c r="J40" s="226">
        <f t="shared" si="2"/>
        <v>7652542.5699999928</v>
      </c>
      <c r="K40" s="227">
        <f t="shared" si="3"/>
        <v>4.1957374341035719E-2</v>
      </c>
      <c r="L40" s="209"/>
      <c r="M40" s="298">
        <f>SUMIF('pdc2019'!$J$8:$J$1169,'CE statale'!$A40,'pdc2019'!$N$8:$N$1169)</f>
        <v>171947489.75000003</v>
      </c>
    </row>
    <row r="41" spans="1:13" s="55" customFormat="1">
      <c r="A41" s="209" t="s">
        <v>3110</v>
      </c>
      <c r="B41" s="221"/>
      <c r="C41" s="222"/>
      <c r="D41" s="223"/>
      <c r="E41" s="222" t="s">
        <v>2853</v>
      </c>
      <c r="F41" s="625" t="s">
        <v>3577</v>
      </c>
      <c r="G41" s="626"/>
      <c r="H41" s="225">
        <f>SUMIF('pdc2019'!$J$8:$J$1169,'CE statale'!$A41,'pdc2019'!$Q$8:$Q$1169)</f>
        <v>19120000</v>
      </c>
      <c r="I41" s="225">
        <f>SUMIF('pdc2019'!$J$8:$J$1169,'CE statale'!$A41,'pdc2019'!$P$8:$P$1169)</f>
        <v>18645000</v>
      </c>
      <c r="J41" s="226">
        <f t="shared" si="2"/>
        <v>475000</v>
      </c>
      <c r="K41" s="227">
        <f t="shared" si="3"/>
        <v>2.5475998927326361E-2</v>
      </c>
      <c r="L41" s="209"/>
      <c r="M41" s="298">
        <f>SUMIF('pdc2019'!$J$8:$J$1169,'CE statale'!$A41,'pdc2019'!$N$8:$N$1169)</f>
        <v>17945613.390000001</v>
      </c>
    </row>
    <row r="42" spans="1:13" s="79" customFormat="1">
      <c r="A42" s="209"/>
      <c r="B42" s="240"/>
      <c r="C42" s="216" t="s">
        <v>2858</v>
      </c>
      <c r="D42" s="628" t="s">
        <v>3578</v>
      </c>
      <c r="E42" s="628"/>
      <c r="F42" s="628"/>
      <c r="G42" s="629"/>
      <c r="H42" s="217">
        <f>SUM(H43:H59)</f>
        <v>357006000</v>
      </c>
      <c r="I42" s="217">
        <f>SUM(I43:I59)</f>
        <v>346270000</v>
      </c>
      <c r="J42" s="218">
        <f t="shared" si="2"/>
        <v>10736000</v>
      </c>
      <c r="K42" s="219">
        <f t="shared" si="3"/>
        <v>3.1004707309325093E-2</v>
      </c>
      <c r="L42" s="214"/>
      <c r="M42" s="297">
        <f>SUM(M43:M59)</f>
        <v>336772440.71000004</v>
      </c>
    </row>
    <row r="43" spans="1:13" s="55" customFormat="1">
      <c r="A43" s="209" t="s">
        <v>2133</v>
      </c>
      <c r="B43" s="248"/>
      <c r="C43" s="222"/>
      <c r="D43" s="223"/>
      <c r="E43" s="222" t="s">
        <v>2851</v>
      </c>
      <c r="F43" s="625" t="s">
        <v>3579</v>
      </c>
      <c r="G43" s="626"/>
      <c r="H43" s="225">
        <f>SUMIF('pdc2019'!$J$8:$J$1169,'CE statale'!$A43,'pdc2019'!$Q$8:$Q$1169)</f>
        <v>65820000</v>
      </c>
      <c r="I43" s="225">
        <f>SUMIF('pdc2019'!$J$8:$J$1169,'CE statale'!$A43,'pdc2019'!$P$8:$P$1169)</f>
        <v>65542000</v>
      </c>
      <c r="J43" s="226">
        <f t="shared" si="2"/>
        <v>278000</v>
      </c>
      <c r="K43" s="227">
        <f t="shared" si="3"/>
        <v>4.2415550334136886E-3</v>
      </c>
      <c r="L43" s="209"/>
      <c r="M43" s="298">
        <f>SUMIF('pdc2019'!$J$8:$J$1169,'CE statale'!$A43,'pdc2019'!$N$8:$N$1169)</f>
        <v>62869563.25999999</v>
      </c>
    </row>
    <row r="44" spans="1:13" s="55" customFormat="1">
      <c r="A44" s="209" t="s">
        <v>1376</v>
      </c>
      <c r="B44" s="248"/>
      <c r="C44" s="222"/>
      <c r="D44" s="223"/>
      <c r="E44" s="222" t="s">
        <v>2853</v>
      </c>
      <c r="F44" s="625" t="s">
        <v>3580</v>
      </c>
      <c r="G44" s="626"/>
      <c r="H44" s="225">
        <f>SUMIF('pdc2019'!$J$8:$J$1169,'CE statale'!$A44,'pdc2019'!$Q$8:$Q$1169)</f>
        <v>45548000</v>
      </c>
      <c r="I44" s="225">
        <f>SUMIF('pdc2019'!$J$8:$J$1169,'CE statale'!$A44,'pdc2019'!$P$8:$P$1169)</f>
        <v>45555000</v>
      </c>
      <c r="J44" s="226">
        <f t="shared" si="2"/>
        <v>-7000</v>
      </c>
      <c r="K44" s="227">
        <f t="shared" si="3"/>
        <v>-1.5366041049281087E-4</v>
      </c>
      <c r="L44" s="209"/>
      <c r="M44" s="298">
        <f>SUMIF('pdc2019'!$J$8:$J$1169,'CE statale'!$A44,'pdc2019'!$N$8:$N$1169)</f>
        <v>46305529.780000001</v>
      </c>
    </row>
    <row r="45" spans="1:13" s="55" customFormat="1">
      <c r="A45" s="209" t="s">
        <v>2604</v>
      </c>
      <c r="B45" s="248"/>
      <c r="C45" s="222"/>
      <c r="D45" s="249"/>
      <c r="E45" s="222" t="s">
        <v>3542</v>
      </c>
      <c r="F45" s="625" t="s">
        <v>3581</v>
      </c>
      <c r="G45" s="626"/>
      <c r="H45" s="225">
        <f>SUMIF('pdc2019'!$J$8:$J$1169,'CE statale'!$A45,'pdc2019'!$Q$8:$Q$1169)</f>
        <v>17553000</v>
      </c>
      <c r="I45" s="225">
        <f>SUMIF('pdc2019'!$J$8:$J$1169,'CE statale'!$A45,'pdc2019'!$P$8:$P$1169)</f>
        <v>15234000</v>
      </c>
      <c r="J45" s="226">
        <f t="shared" si="2"/>
        <v>2319000</v>
      </c>
      <c r="K45" s="227">
        <f t="shared" si="3"/>
        <v>0.15222528554549036</v>
      </c>
      <c r="L45" s="209"/>
      <c r="M45" s="298">
        <f>SUMIF('pdc2019'!$J$8:$J$1169,'CE statale'!$A45,'pdc2019'!$N$8:$N$1169)</f>
        <v>12753148.77</v>
      </c>
    </row>
    <row r="46" spans="1:13" s="55" customFormat="1">
      <c r="A46" s="209" t="s">
        <v>2024</v>
      </c>
      <c r="B46" s="248"/>
      <c r="C46" s="222"/>
      <c r="D46" s="249"/>
      <c r="E46" s="222" t="s">
        <v>3550</v>
      </c>
      <c r="F46" s="625" t="s">
        <v>3582</v>
      </c>
      <c r="G46" s="626"/>
      <c r="H46" s="225">
        <f>SUMIF('pdc2019'!$J$8:$J$1169,'CE statale'!$A46,'pdc2019'!$Q$8:$Q$1169)</f>
        <v>112000</v>
      </c>
      <c r="I46" s="225">
        <f>SUMIF('pdc2019'!$J$8:$J$1169,'CE statale'!$A46,'pdc2019'!$P$8:$P$1169)</f>
        <v>112000</v>
      </c>
      <c r="J46" s="226">
        <f t="shared" si="2"/>
        <v>0</v>
      </c>
      <c r="K46" s="227">
        <f t="shared" si="3"/>
        <v>0</v>
      </c>
      <c r="L46" s="209"/>
      <c r="M46" s="298">
        <f>SUMIF('pdc2019'!$J$8:$J$1169,'CE statale'!$A46,'pdc2019'!$N$8:$N$1169)</f>
        <v>98014.1</v>
      </c>
    </row>
    <row r="47" spans="1:13" s="55" customFormat="1">
      <c r="A47" s="209" t="s">
        <v>2074</v>
      </c>
      <c r="B47" s="248"/>
      <c r="C47" s="222"/>
      <c r="D47" s="249"/>
      <c r="E47" s="222" t="s">
        <v>3583</v>
      </c>
      <c r="F47" s="625" t="s">
        <v>3584</v>
      </c>
      <c r="G47" s="626"/>
      <c r="H47" s="225">
        <f>SUMIF('pdc2019'!$J$8:$J$1169,'CE statale'!$A47,'pdc2019'!$Q$8:$Q$1169)</f>
        <v>28559000</v>
      </c>
      <c r="I47" s="225">
        <f>SUMIF('pdc2019'!$J$8:$J$1169,'CE statale'!$A47,'pdc2019'!$P$8:$P$1169)</f>
        <v>28018000</v>
      </c>
      <c r="J47" s="226">
        <f t="shared" si="2"/>
        <v>541000</v>
      </c>
      <c r="K47" s="227">
        <f t="shared" si="3"/>
        <v>1.9309015632807482E-2</v>
      </c>
      <c r="L47" s="209"/>
      <c r="M47" s="298">
        <f>SUMIF('pdc2019'!$J$8:$J$1169,'CE statale'!$A47,'pdc2019'!$N$8:$N$1169)</f>
        <v>27666808.720000003</v>
      </c>
    </row>
    <row r="48" spans="1:13" s="55" customFormat="1">
      <c r="A48" s="209" t="s">
        <v>1951</v>
      </c>
      <c r="B48" s="248"/>
      <c r="C48" s="222"/>
      <c r="D48" s="249"/>
      <c r="E48" s="222" t="s">
        <v>3585</v>
      </c>
      <c r="F48" s="625" t="s">
        <v>3586</v>
      </c>
      <c r="G48" s="626"/>
      <c r="H48" s="225">
        <f>SUMIF('pdc2019'!$J$8:$J$1169,'CE statale'!$A48,'pdc2019'!$Q$8:$Q$1169)</f>
        <v>7786000</v>
      </c>
      <c r="I48" s="225">
        <f>SUMIF('pdc2019'!$J$8:$J$1169,'CE statale'!$A48,'pdc2019'!$P$8:$P$1169)</f>
        <v>7431000</v>
      </c>
      <c r="J48" s="226">
        <f t="shared" si="2"/>
        <v>355000</v>
      </c>
      <c r="K48" s="227">
        <f t="shared" si="3"/>
        <v>4.7772843493473285E-2</v>
      </c>
      <c r="L48" s="209"/>
      <c r="M48" s="298">
        <f>SUMIF('pdc2019'!$J$8:$J$1169,'CE statale'!$A48,'pdc2019'!$N$8:$N$1169)</f>
        <v>6737383.9000000004</v>
      </c>
    </row>
    <row r="49" spans="1:13" s="55" customFormat="1">
      <c r="A49" s="209" t="s">
        <v>1921</v>
      </c>
      <c r="B49" s="248"/>
      <c r="C49" s="222"/>
      <c r="D49" s="249"/>
      <c r="E49" s="222" t="s">
        <v>3587</v>
      </c>
      <c r="F49" s="625" t="s">
        <v>3588</v>
      </c>
      <c r="G49" s="626"/>
      <c r="H49" s="225">
        <f>SUMIF('pdc2019'!$J$8:$J$1169,'CE statale'!$A49,'pdc2019'!$Q$8:$Q$1169)</f>
        <v>49974000</v>
      </c>
      <c r="I49" s="225">
        <f>SUMIF('pdc2019'!$J$8:$J$1169,'CE statale'!$A49,'pdc2019'!$P$8:$P$1169)</f>
        <v>48473000</v>
      </c>
      <c r="J49" s="226">
        <f t="shared" si="2"/>
        <v>1501000</v>
      </c>
      <c r="K49" s="227">
        <f t="shared" si="3"/>
        <v>3.0965692241041405E-2</v>
      </c>
      <c r="L49" s="209"/>
      <c r="M49" s="298">
        <f>SUMIF('pdc2019'!$J$8:$J$1169,'CE statale'!$A49,'pdc2019'!$N$8:$N$1169)</f>
        <v>45779234.760000005</v>
      </c>
    </row>
    <row r="50" spans="1:13" s="55" customFormat="1">
      <c r="A50" s="209" t="s">
        <v>2003</v>
      </c>
      <c r="B50" s="248"/>
      <c r="C50" s="222"/>
      <c r="D50" s="249"/>
      <c r="E50" s="222" t="s">
        <v>3589</v>
      </c>
      <c r="F50" s="625" t="s">
        <v>3590</v>
      </c>
      <c r="G50" s="626"/>
      <c r="H50" s="225">
        <f>SUMIF('pdc2019'!$J$8:$J$1169,'CE statale'!$A50,'pdc2019'!$Q$8:$Q$1169)</f>
        <v>10171000</v>
      </c>
      <c r="I50" s="225">
        <f>SUMIF('pdc2019'!$J$8:$J$1169,'CE statale'!$A50,'pdc2019'!$P$8:$P$1169)</f>
        <v>10171000</v>
      </c>
      <c r="J50" s="226">
        <f t="shared" si="2"/>
        <v>0</v>
      </c>
      <c r="K50" s="227">
        <f t="shared" si="3"/>
        <v>0</v>
      </c>
      <c r="L50" s="209"/>
      <c r="M50" s="298">
        <f>SUMIF('pdc2019'!$J$8:$J$1169,'CE statale'!$A50,'pdc2019'!$N$8:$N$1169)</f>
        <v>10052103.300000001</v>
      </c>
    </row>
    <row r="51" spans="1:13" s="55" customFormat="1">
      <c r="A51" s="209" t="s">
        <v>1395</v>
      </c>
      <c r="B51" s="248"/>
      <c r="C51" s="222"/>
      <c r="D51" s="249"/>
      <c r="E51" s="222" t="s">
        <v>3591</v>
      </c>
      <c r="F51" s="625" t="s">
        <v>3592</v>
      </c>
      <c r="G51" s="626"/>
      <c r="H51" s="225">
        <f>SUMIF('pdc2019'!$J$8:$J$1169,'CE statale'!$A51,'pdc2019'!$Q$8:$Q$1169)</f>
        <v>2817000</v>
      </c>
      <c r="I51" s="225">
        <f>SUMIF('pdc2019'!$J$8:$J$1169,'CE statale'!$A51,'pdc2019'!$P$8:$P$1169)</f>
        <v>3047000</v>
      </c>
      <c r="J51" s="226">
        <f t="shared" si="2"/>
        <v>-230000</v>
      </c>
      <c r="K51" s="227">
        <f t="shared" si="3"/>
        <v>-7.5484082704299307E-2</v>
      </c>
      <c r="L51" s="209"/>
      <c r="M51" s="298">
        <f>SUMIF('pdc2019'!$J$8:$J$1169,'CE statale'!$A51,'pdc2019'!$N$8:$N$1169)</f>
        <v>2635819.73</v>
      </c>
    </row>
    <row r="52" spans="1:13" s="55" customFormat="1">
      <c r="A52" s="209" t="s">
        <v>3593</v>
      </c>
      <c r="B52" s="248"/>
      <c r="C52" s="222"/>
      <c r="D52" s="249"/>
      <c r="E52" s="222" t="s">
        <v>3594</v>
      </c>
      <c r="F52" s="625" t="s">
        <v>3595</v>
      </c>
      <c r="G52" s="626"/>
      <c r="H52" s="225">
        <f>SUMIF('pdc2019'!$J$8:$J$1169,'CE statale'!$A52,'pdc2019'!$Q$8:$Q$1169)</f>
        <v>532000</v>
      </c>
      <c r="I52" s="225">
        <f>SUMIF('pdc2019'!$J$8:$J$1169,'CE statale'!$A52,'pdc2019'!$P$8:$P$1169)</f>
        <v>707000</v>
      </c>
      <c r="J52" s="226">
        <f t="shared" si="2"/>
        <v>-175000</v>
      </c>
      <c r="K52" s="227">
        <f t="shared" si="3"/>
        <v>-0.24752475247524752</v>
      </c>
      <c r="L52" s="209"/>
      <c r="M52" s="298">
        <f>SUMIF('pdc2019'!$J$8:$J$1169,'CE statale'!$A52,'pdc2019'!$N$8:$N$1169)</f>
        <v>666963.43999999994</v>
      </c>
    </row>
    <row r="53" spans="1:13" s="55" customFormat="1">
      <c r="A53" s="209" t="s">
        <v>3596</v>
      </c>
      <c r="B53" s="248"/>
      <c r="C53" s="222"/>
      <c r="D53" s="249"/>
      <c r="E53" s="222" t="s">
        <v>3597</v>
      </c>
      <c r="F53" s="625" t="s">
        <v>3598</v>
      </c>
      <c r="G53" s="626"/>
      <c r="H53" s="225">
        <f>SUMIF('pdc2019'!$J$8:$J$1169,'CE statale'!$A53,'pdc2019'!$Q$8:$Q$1169)</f>
        <v>33093000</v>
      </c>
      <c r="I53" s="225">
        <f>SUMIF('pdc2019'!$J$8:$J$1169,'CE statale'!$A53,'pdc2019'!$P$8:$P$1169)</f>
        <v>32175000</v>
      </c>
      <c r="J53" s="226">
        <f t="shared" si="2"/>
        <v>918000</v>
      </c>
      <c r="K53" s="227">
        <f t="shared" si="3"/>
        <v>2.8531468531468533E-2</v>
      </c>
      <c r="L53" s="209"/>
      <c r="M53" s="298">
        <f>SUMIF('pdc2019'!$J$8:$J$1169,'CE statale'!$A53,'pdc2019'!$N$8:$N$1169)</f>
        <v>31408484.32</v>
      </c>
    </row>
    <row r="54" spans="1:13" s="55" customFormat="1">
      <c r="A54" s="209" t="s">
        <v>3599</v>
      </c>
      <c r="B54" s="248"/>
      <c r="C54" s="222"/>
      <c r="D54" s="249"/>
      <c r="E54" s="222" t="s">
        <v>3600</v>
      </c>
      <c r="F54" s="625" t="s">
        <v>3601</v>
      </c>
      <c r="G54" s="626"/>
      <c r="H54" s="225">
        <f>SUMIF('pdc2019'!$J$8:$J$1169,'CE statale'!$A54,'pdc2019'!$Q$8:$Q$1169)</f>
        <v>53623000</v>
      </c>
      <c r="I54" s="225">
        <f>SUMIF('pdc2019'!$J$8:$J$1169,'CE statale'!$A54,'pdc2019'!$P$8:$P$1169)</f>
        <v>52498000</v>
      </c>
      <c r="J54" s="226">
        <f t="shared" si="2"/>
        <v>1125000</v>
      </c>
      <c r="K54" s="227">
        <f t="shared" si="3"/>
        <v>2.1429387786201379E-2</v>
      </c>
      <c r="L54" s="209"/>
      <c r="M54" s="298">
        <f>SUMIF('pdc2019'!$J$8:$J$1169,'CE statale'!$A54,'pdc2019'!$N$8:$N$1169)</f>
        <v>50382651.090000018</v>
      </c>
    </row>
    <row r="55" spans="1:13" s="55" customFormat="1">
      <c r="A55" s="209" t="s">
        <v>3602</v>
      </c>
      <c r="B55" s="248"/>
      <c r="C55" s="222"/>
      <c r="D55" s="249"/>
      <c r="E55" s="222" t="s">
        <v>3603</v>
      </c>
      <c r="F55" s="625" t="s">
        <v>2351</v>
      </c>
      <c r="G55" s="626"/>
      <c r="H55" s="225">
        <f>SUMIF('pdc2019'!$J$8:$J$1169,'CE statale'!$A55,'pdc2019'!$Q$8:$Q$1169)</f>
        <v>2532000</v>
      </c>
      <c r="I55" s="225">
        <f>SUMIF('pdc2019'!$J$8:$J$1169,'CE statale'!$A55,'pdc2019'!$P$8:$P$1169)</f>
        <v>2532000</v>
      </c>
      <c r="J55" s="226">
        <f t="shared" si="2"/>
        <v>0</v>
      </c>
      <c r="K55" s="227">
        <f t="shared" si="3"/>
        <v>0</v>
      </c>
      <c r="L55" s="209"/>
      <c r="M55" s="298">
        <f>SUMIF('pdc2019'!$J$8:$J$1169,'CE statale'!$A55,'pdc2019'!$N$8:$N$1169)</f>
        <v>2012204.97</v>
      </c>
    </row>
    <row r="56" spans="1:13" s="55" customFormat="1">
      <c r="A56" s="209" t="s">
        <v>3604</v>
      </c>
      <c r="B56" s="248"/>
      <c r="C56" s="222"/>
      <c r="D56" s="249"/>
      <c r="E56" s="222" t="s">
        <v>3605</v>
      </c>
      <c r="F56" s="625" t="s">
        <v>3606</v>
      </c>
      <c r="G56" s="626"/>
      <c r="H56" s="225">
        <f>SUMIF('pdc2019'!$J$8:$J$1169,'CE statale'!$A56,'pdc2019'!$Q$8:$Q$1169)</f>
        <v>5903000</v>
      </c>
      <c r="I56" s="225">
        <f>SUMIF('pdc2019'!$J$8:$J$1169,'CE statale'!$A56,'pdc2019'!$P$8:$P$1169)</f>
        <v>5908000</v>
      </c>
      <c r="J56" s="226">
        <f t="shared" si="2"/>
        <v>-5000</v>
      </c>
      <c r="K56" s="227">
        <f t="shared" si="3"/>
        <v>-8.463100880162492E-4</v>
      </c>
      <c r="L56" s="209"/>
      <c r="M56" s="298">
        <f>SUMIF('pdc2019'!$J$8:$J$1169,'CE statale'!$A56,'pdc2019'!$N$8:$N$1169)</f>
        <v>5723289.1100000003</v>
      </c>
    </row>
    <row r="57" spans="1:13" s="55" customFormat="1" ht="30" customHeight="1">
      <c r="A57" s="209" t="s">
        <v>3607</v>
      </c>
      <c r="B57" s="248"/>
      <c r="C57" s="250"/>
      <c r="D57" s="251"/>
      <c r="E57" s="222" t="s">
        <v>3608</v>
      </c>
      <c r="F57" s="625" t="s">
        <v>2868</v>
      </c>
      <c r="G57" s="626"/>
      <c r="H57" s="225">
        <f>SUMIF('pdc2019'!$J$8:$J$1169,'CE statale'!$A57,'pdc2019'!$Q$8:$Q$1169)</f>
        <v>2451000</v>
      </c>
      <c r="I57" s="225">
        <f>SUMIF('pdc2019'!$J$8:$J$1169,'CE statale'!$A57,'pdc2019'!$P$8:$P$1169)</f>
        <v>2412000</v>
      </c>
      <c r="J57" s="226">
        <f t="shared" si="2"/>
        <v>39000</v>
      </c>
      <c r="K57" s="227">
        <f t="shared" si="3"/>
        <v>1.6169154228855721E-2</v>
      </c>
      <c r="L57" s="209"/>
      <c r="M57" s="298">
        <f>SUMIF('pdc2019'!$J$8:$J$1169,'CE statale'!$A57,'pdc2019'!$N$8:$N$1169)</f>
        <v>2748896.5899999994</v>
      </c>
    </row>
    <row r="58" spans="1:13" s="55" customFormat="1">
      <c r="A58" s="209" t="s">
        <v>2869</v>
      </c>
      <c r="B58" s="248"/>
      <c r="C58" s="250"/>
      <c r="D58" s="251"/>
      <c r="E58" s="222" t="s">
        <v>2870</v>
      </c>
      <c r="F58" s="625" t="s">
        <v>2871</v>
      </c>
      <c r="G58" s="626"/>
      <c r="H58" s="225">
        <f>SUMIF('pdc2019'!$J$8:$J$1169,'CE statale'!$A58,'pdc2019'!$Q$8:$Q$1169)</f>
        <v>30532000</v>
      </c>
      <c r="I58" s="225">
        <f>SUMIF('pdc2019'!$J$8:$J$1169,'CE statale'!$A58,'pdc2019'!$P$8:$P$1169)</f>
        <v>26455000</v>
      </c>
      <c r="J58" s="226">
        <f t="shared" si="2"/>
        <v>4077000</v>
      </c>
      <c r="K58" s="227">
        <f t="shared" si="3"/>
        <v>0.15411075411075412</v>
      </c>
      <c r="L58" s="209"/>
      <c r="M58" s="298">
        <f>SUMIF('pdc2019'!$J$8:$J$1169,'CE statale'!$A58,'pdc2019'!$N$8:$N$1169)</f>
        <v>28932344.870000001</v>
      </c>
    </row>
    <row r="59" spans="1:13" s="55" customFormat="1">
      <c r="A59" s="209" t="s">
        <v>2872</v>
      </c>
      <c r="B59" s="248"/>
      <c r="C59" s="250"/>
      <c r="D59" s="251"/>
      <c r="E59" s="222" t="s">
        <v>2873</v>
      </c>
      <c r="F59" s="625" t="s">
        <v>2874</v>
      </c>
      <c r="G59" s="626"/>
      <c r="H59" s="225">
        <f>SUMIF('pdc2019'!$J$8:$J$1169,'CE statale'!$A59,'pdc2019'!$Q$8:$Q$1169)</f>
        <v>0</v>
      </c>
      <c r="I59" s="225">
        <f>SUMIF('pdc2019'!$J$8:$J$1169,'CE statale'!$A59,'pdc2019'!$P$8:$P$1169)</f>
        <v>0</v>
      </c>
      <c r="J59" s="226">
        <f t="shared" si="2"/>
        <v>0</v>
      </c>
      <c r="K59" s="227" t="str">
        <f t="shared" si="3"/>
        <v xml:space="preserve">-    </v>
      </c>
      <c r="L59" s="209"/>
      <c r="M59" s="298">
        <f>SUMIF('pdc2019'!$J$8:$J$1169,'CE statale'!$A59,'pdc2019'!$N$8:$N$1169)</f>
        <v>0</v>
      </c>
    </row>
    <row r="60" spans="1:13" s="55" customFormat="1">
      <c r="A60" s="209"/>
      <c r="B60" s="248"/>
      <c r="C60" s="216" t="s">
        <v>2861</v>
      </c>
      <c r="D60" s="628" t="s">
        <v>2875</v>
      </c>
      <c r="E60" s="628"/>
      <c r="F60" s="628"/>
      <c r="G60" s="629"/>
      <c r="H60" s="217">
        <f>SUM(H61:H63)</f>
        <v>69865500</v>
      </c>
      <c r="I60" s="217">
        <f>SUM(I61:I63)</f>
        <v>67175000</v>
      </c>
      <c r="J60" s="218">
        <f t="shared" si="2"/>
        <v>2690500</v>
      </c>
      <c r="K60" s="219">
        <f t="shared" si="3"/>
        <v>4.005210271678452E-2</v>
      </c>
      <c r="L60" s="209"/>
      <c r="M60" s="297">
        <f>SUM(M61:M63)</f>
        <v>64452956.669999987</v>
      </c>
    </row>
    <row r="61" spans="1:13" s="55" customFormat="1">
      <c r="A61" s="209" t="s">
        <v>2876</v>
      </c>
      <c r="B61" s="248"/>
      <c r="C61" s="216"/>
      <c r="D61" s="252"/>
      <c r="E61" s="222" t="s">
        <v>2851</v>
      </c>
      <c r="F61" s="625" t="s">
        <v>2877</v>
      </c>
      <c r="G61" s="626"/>
      <c r="H61" s="225">
        <f>SUMIF('pdc2019'!$J$8:$J$1169,'CE statale'!$A61,'pdc2019'!$Q$8:$Q$1169)</f>
        <v>66205500</v>
      </c>
      <c r="I61" s="225">
        <f>SUMIF('pdc2019'!$J$8:$J$1169,'CE statale'!$A61,'pdc2019'!$P$8:$P$1169)</f>
        <v>63535000</v>
      </c>
      <c r="J61" s="226">
        <f t="shared" si="2"/>
        <v>2670500</v>
      </c>
      <c r="K61" s="227">
        <f t="shared" si="3"/>
        <v>4.2031950893208471E-2</v>
      </c>
      <c r="L61" s="209"/>
      <c r="M61" s="298">
        <f>SUMIF('pdc2019'!$J$8:$J$1169,'CE statale'!$A61,'pdc2019'!$N$8:$N$1169)</f>
        <v>60874003.819999993</v>
      </c>
    </row>
    <row r="62" spans="1:13" s="55" customFormat="1" ht="30" customHeight="1">
      <c r="A62" s="209" t="s">
        <v>2878</v>
      </c>
      <c r="B62" s="248"/>
      <c r="C62" s="253"/>
      <c r="D62" s="222"/>
      <c r="E62" s="222" t="s">
        <v>2853</v>
      </c>
      <c r="F62" s="625" t="s">
        <v>2879</v>
      </c>
      <c r="G62" s="626"/>
      <c r="H62" s="225">
        <f>SUMIF('pdc2019'!$J$8:$J$1169,'CE statale'!$A62,'pdc2019'!$Q$8:$Q$1169)</f>
        <v>321000</v>
      </c>
      <c r="I62" s="225">
        <f>SUMIF('pdc2019'!$J$8:$J$1169,'CE statale'!$A62,'pdc2019'!$P$8:$P$1169)</f>
        <v>301000</v>
      </c>
      <c r="J62" s="226">
        <f t="shared" si="2"/>
        <v>20000</v>
      </c>
      <c r="K62" s="227">
        <f t="shared" si="3"/>
        <v>6.6445182724252497E-2</v>
      </c>
      <c r="L62" s="209"/>
      <c r="M62" s="298">
        <f>SUMIF('pdc2019'!$J$8:$J$1169,'CE statale'!$A62,'pdc2019'!$N$8:$N$1169)</f>
        <v>239480.94</v>
      </c>
    </row>
    <row r="63" spans="1:13" s="55" customFormat="1">
      <c r="A63" s="209" t="s">
        <v>2880</v>
      </c>
      <c r="B63" s="248"/>
      <c r="C63" s="253"/>
      <c r="D63" s="222"/>
      <c r="E63" s="222" t="s">
        <v>3542</v>
      </c>
      <c r="F63" s="625" t="s">
        <v>2881</v>
      </c>
      <c r="G63" s="626"/>
      <c r="H63" s="225">
        <f>SUMIF('pdc2019'!$J$8:$J$1169,'CE statale'!$A63,'pdc2019'!$Q$8:$Q$1169)</f>
        <v>3339000</v>
      </c>
      <c r="I63" s="225">
        <f>SUMIF('pdc2019'!$J$8:$J$1169,'CE statale'!$A63,'pdc2019'!$P$8:$P$1169)</f>
        <v>3339000</v>
      </c>
      <c r="J63" s="226">
        <f t="shared" si="2"/>
        <v>0</v>
      </c>
      <c r="K63" s="227">
        <f t="shared" si="3"/>
        <v>0</v>
      </c>
      <c r="L63" s="209"/>
      <c r="M63" s="298">
        <f>SUMIF('pdc2019'!$J$8:$J$1169,'CE statale'!$A63,'pdc2019'!$N$8:$N$1169)</f>
        <v>3339471.91</v>
      </c>
    </row>
    <row r="64" spans="1:13" s="55" customFormat="1">
      <c r="A64" s="209" t="s">
        <v>2882</v>
      </c>
      <c r="B64" s="248"/>
      <c r="C64" s="216" t="s">
        <v>2864</v>
      </c>
      <c r="D64" s="628" t="s">
        <v>2883</v>
      </c>
      <c r="E64" s="628"/>
      <c r="F64" s="628"/>
      <c r="G64" s="629"/>
      <c r="H64" s="217">
        <f>SUMIF('pdc2019'!$J$8:$J$1169,'CE statale'!$A64,'pdc2019'!$Q$8:$Q$1169)</f>
        <v>24576000</v>
      </c>
      <c r="I64" s="217">
        <f>SUMIF('pdc2019'!$J$8:$J$1169,'CE statale'!$A64,'pdc2019'!$P$8:$P$1169)</f>
        <v>23450000</v>
      </c>
      <c r="J64" s="218">
        <f t="shared" si="2"/>
        <v>1126000</v>
      </c>
      <c r="K64" s="219">
        <f t="shared" si="3"/>
        <v>4.8017057569296376E-2</v>
      </c>
      <c r="L64" s="209"/>
      <c r="M64" s="297">
        <f>SUMIF('pdc2019'!$J$8:$J$1169,'CE statale'!$A64,'pdc2019'!$N$8:$N$1169)</f>
        <v>22081182.43</v>
      </c>
    </row>
    <row r="65" spans="1:13" s="79" customFormat="1">
      <c r="A65" s="209" t="s">
        <v>2715</v>
      </c>
      <c r="B65" s="248"/>
      <c r="C65" s="216" t="s">
        <v>3537</v>
      </c>
      <c r="D65" s="628" t="s">
        <v>1474</v>
      </c>
      <c r="E65" s="628"/>
      <c r="F65" s="628"/>
      <c r="G65" s="629"/>
      <c r="H65" s="217">
        <f>SUMIF('pdc2019'!$J$8:$J$1169,'CE statale'!$A65,'pdc2019'!$Q$8:$Q$1169)</f>
        <v>10024000</v>
      </c>
      <c r="I65" s="217">
        <f>SUMIF('pdc2019'!$J$8:$J$1169,'CE statale'!$A65,'pdc2019'!$P$8:$P$1169)</f>
        <v>9144000</v>
      </c>
      <c r="J65" s="218">
        <f t="shared" si="2"/>
        <v>880000</v>
      </c>
      <c r="K65" s="219">
        <f t="shared" si="3"/>
        <v>9.6237970253718289E-2</v>
      </c>
      <c r="L65" s="214"/>
      <c r="M65" s="297">
        <f>SUMIF('pdc2019'!$J$8:$J$1169,'CE statale'!$A65,'pdc2019'!$N$8:$N$1169)</f>
        <v>9338326.1600000001</v>
      </c>
    </row>
    <row r="66" spans="1:13" s="79" customFormat="1">
      <c r="A66" s="209"/>
      <c r="B66" s="248"/>
      <c r="C66" s="216" t="s">
        <v>3540</v>
      </c>
      <c r="D66" s="628" t="s">
        <v>1476</v>
      </c>
      <c r="E66" s="628"/>
      <c r="F66" s="628"/>
      <c r="G66" s="629"/>
      <c r="H66" s="217">
        <f>SUM(H67:H71)</f>
        <v>638988000</v>
      </c>
      <c r="I66" s="217">
        <f>SUM(I67:I71)</f>
        <v>627600000</v>
      </c>
      <c r="J66" s="218">
        <f t="shared" si="2"/>
        <v>11388000</v>
      </c>
      <c r="K66" s="219">
        <f t="shared" si="3"/>
        <v>1.81453154875717E-2</v>
      </c>
      <c r="L66" s="214"/>
      <c r="M66" s="297">
        <f>SUM(M67:M71)</f>
        <v>619511404.56999993</v>
      </c>
    </row>
    <row r="67" spans="1:13" s="55" customFormat="1">
      <c r="A67" s="209" t="s">
        <v>1008</v>
      </c>
      <c r="B67" s="248"/>
      <c r="C67" s="222"/>
      <c r="D67" s="254"/>
      <c r="E67" s="222" t="s">
        <v>2851</v>
      </c>
      <c r="F67" s="625" t="s">
        <v>2884</v>
      </c>
      <c r="G67" s="626"/>
      <c r="H67" s="225">
        <f>SUMIF('pdc2019'!$J$8:$J$1169,'CE statale'!$A67,'pdc2019'!$Q$8:$Q$1169)</f>
        <v>223621000</v>
      </c>
      <c r="I67" s="225">
        <f>SUMIF('pdc2019'!$J$8:$J$1169,'CE statale'!$A67,'pdc2019'!$P$8:$P$1169)</f>
        <v>219904000</v>
      </c>
      <c r="J67" s="226">
        <f t="shared" si="2"/>
        <v>3717000</v>
      </c>
      <c r="K67" s="227">
        <f t="shared" si="3"/>
        <v>1.6902830325960419E-2</v>
      </c>
      <c r="L67" s="209"/>
      <c r="M67" s="298">
        <f>SUMIF('pdc2019'!$J$8:$J$1169,'CE statale'!$A67,'pdc2019'!$N$8:$N$1169)</f>
        <v>213860302.35000002</v>
      </c>
    </row>
    <row r="68" spans="1:13" s="55" customFormat="1">
      <c r="A68" s="209" t="s">
        <v>1031</v>
      </c>
      <c r="B68" s="248"/>
      <c r="C68" s="222"/>
      <c r="D68" s="254"/>
      <c r="E68" s="222" t="s">
        <v>2853</v>
      </c>
      <c r="F68" s="625" t="s">
        <v>2885</v>
      </c>
      <c r="G68" s="626"/>
      <c r="H68" s="225">
        <f>SUMIF('pdc2019'!$J$8:$J$1169,'CE statale'!$A68,'pdc2019'!$Q$8:$Q$1169)</f>
        <v>31580000</v>
      </c>
      <c r="I68" s="225">
        <f>SUMIF('pdc2019'!$J$8:$J$1169,'CE statale'!$A68,'pdc2019'!$P$8:$P$1169)</f>
        <v>30921000</v>
      </c>
      <c r="J68" s="226">
        <f t="shared" si="2"/>
        <v>659000</v>
      </c>
      <c r="K68" s="227">
        <f t="shared" si="3"/>
        <v>2.1312376701917792E-2</v>
      </c>
      <c r="L68" s="209"/>
      <c r="M68" s="298">
        <f>SUMIF('pdc2019'!$J$8:$J$1169,'CE statale'!$A68,'pdc2019'!$N$8:$N$1169)</f>
        <v>29554009.040000003</v>
      </c>
    </row>
    <row r="69" spans="1:13" s="55" customFormat="1">
      <c r="A69" s="209" t="s">
        <v>1063</v>
      </c>
      <c r="B69" s="248"/>
      <c r="C69" s="222"/>
      <c r="D69" s="254"/>
      <c r="E69" s="222" t="s">
        <v>3542</v>
      </c>
      <c r="F69" s="625" t="s">
        <v>2886</v>
      </c>
      <c r="G69" s="626"/>
      <c r="H69" s="225">
        <f>SUMIF('pdc2019'!$J$8:$J$1169,'CE statale'!$A69,'pdc2019'!$Q$8:$Q$1169)</f>
        <v>243780000</v>
      </c>
      <c r="I69" s="225">
        <f>SUMIF('pdc2019'!$J$8:$J$1169,'CE statale'!$A69,'pdc2019'!$P$8:$P$1169)</f>
        <v>239387000</v>
      </c>
      <c r="J69" s="226">
        <f t="shared" si="2"/>
        <v>4393000</v>
      </c>
      <c r="K69" s="227">
        <f t="shared" si="3"/>
        <v>1.8351038276932331E-2</v>
      </c>
      <c r="L69" s="209"/>
      <c r="M69" s="298">
        <f>SUMIF('pdc2019'!$J$8:$J$1169,'CE statale'!$A69,'pdc2019'!$N$8:$N$1169)</f>
        <v>239292462.52999994</v>
      </c>
    </row>
    <row r="70" spans="1:13" s="55" customFormat="1">
      <c r="A70" s="209" t="s">
        <v>208</v>
      </c>
      <c r="B70" s="248"/>
      <c r="C70" s="222"/>
      <c r="D70" s="254"/>
      <c r="E70" s="222" t="s">
        <v>3550</v>
      </c>
      <c r="F70" s="625" t="s">
        <v>2887</v>
      </c>
      <c r="G70" s="626"/>
      <c r="H70" s="225">
        <f>SUMIF('pdc2019'!$J$8:$J$1169,'CE statale'!$A70,'pdc2019'!$Q$8:$Q$1169)</f>
        <v>9309000</v>
      </c>
      <c r="I70" s="225">
        <f>SUMIF('pdc2019'!$J$8:$J$1169,'CE statale'!$A70,'pdc2019'!$P$8:$P$1169)</f>
        <v>9254000</v>
      </c>
      <c r="J70" s="226">
        <f t="shared" si="2"/>
        <v>55000</v>
      </c>
      <c r="K70" s="227">
        <f t="shared" si="3"/>
        <v>5.9433758374756859E-3</v>
      </c>
      <c r="L70" s="209"/>
      <c r="M70" s="298">
        <f>SUMIF('pdc2019'!$J$8:$J$1169,'CE statale'!$A70,'pdc2019'!$N$8:$N$1169)</f>
        <v>8991652.7100000009</v>
      </c>
    </row>
    <row r="71" spans="1:13" s="55" customFormat="1">
      <c r="A71" s="209" t="s">
        <v>2888</v>
      </c>
      <c r="B71" s="248"/>
      <c r="C71" s="222"/>
      <c r="D71" s="254"/>
      <c r="E71" s="222" t="s">
        <v>3583</v>
      </c>
      <c r="F71" s="625" t="s">
        <v>2889</v>
      </c>
      <c r="G71" s="626"/>
      <c r="H71" s="225">
        <f>SUMIF('pdc2019'!$J$8:$J$1169,'CE statale'!$A71,'pdc2019'!$Q$8:$Q$1169)</f>
        <v>130698000</v>
      </c>
      <c r="I71" s="225">
        <f>SUMIF('pdc2019'!$J$8:$J$1169,'CE statale'!$A71,'pdc2019'!$P$8:$P$1169)</f>
        <v>128134000</v>
      </c>
      <c r="J71" s="226">
        <f t="shared" si="2"/>
        <v>2564000</v>
      </c>
      <c r="K71" s="227">
        <f t="shared" si="3"/>
        <v>2.0010301715391698E-2</v>
      </c>
      <c r="L71" s="209"/>
      <c r="M71" s="298">
        <f>SUMIF('pdc2019'!$J$8:$J$1169,'CE statale'!$A71,'pdc2019'!$N$8:$N$1169)</f>
        <v>127812977.93999994</v>
      </c>
    </row>
    <row r="72" spans="1:13" s="55" customFormat="1">
      <c r="A72" s="209" t="s">
        <v>196</v>
      </c>
      <c r="B72" s="248"/>
      <c r="C72" s="216" t="s">
        <v>3567</v>
      </c>
      <c r="D72" s="628" t="s">
        <v>2890</v>
      </c>
      <c r="E72" s="628"/>
      <c r="F72" s="628"/>
      <c r="G72" s="629"/>
      <c r="H72" s="217">
        <f>SUMIF('pdc2019'!$J$8:$J$1169,'CE statale'!$A72,'pdc2019'!$Q$8:$Q$1169)</f>
        <v>3526500</v>
      </c>
      <c r="I72" s="217">
        <f>SUMIF('pdc2019'!$J$8:$J$1169,'CE statale'!$A72,'pdc2019'!$P$8:$P$1169)</f>
        <v>3443000</v>
      </c>
      <c r="J72" s="218">
        <f t="shared" si="2"/>
        <v>83500</v>
      </c>
      <c r="K72" s="219">
        <f t="shared" si="3"/>
        <v>2.4252105721754284E-2</v>
      </c>
      <c r="L72" s="209"/>
      <c r="M72" s="297">
        <f>SUMIF('pdc2019'!$J$8:$J$1169,'CE statale'!$A72,'pdc2019'!$N$8:$N$1169)</f>
        <v>3413737.72</v>
      </c>
    </row>
    <row r="73" spans="1:13" s="79" customFormat="1">
      <c r="A73" s="209"/>
      <c r="B73" s="248"/>
      <c r="C73" s="216" t="s">
        <v>3570</v>
      </c>
      <c r="D73" s="628" t="s">
        <v>976</v>
      </c>
      <c r="E73" s="628"/>
      <c r="F73" s="628"/>
      <c r="G73" s="629"/>
      <c r="H73" s="217">
        <f>SUM(H74:H76)</f>
        <v>26864000</v>
      </c>
      <c r="I73" s="217">
        <f>SUM(I74:I76)</f>
        <v>26064000</v>
      </c>
      <c r="J73" s="218">
        <f t="shared" si="2"/>
        <v>800000</v>
      </c>
      <c r="K73" s="219">
        <f t="shared" si="3"/>
        <v>3.0693677102516883E-2</v>
      </c>
      <c r="L73" s="214"/>
      <c r="M73" s="297">
        <f>SUM(M74:M76)</f>
        <v>26062872</v>
      </c>
    </row>
    <row r="74" spans="1:13" s="55" customFormat="1">
      <c r="A74" s="209" t="s">
        <v>2891</v>
      </c>
      <c r="B74" s="248"/>
      <c r="C74" s="222"/>
      <c r="D74" s="254"/>
      <c r="E74" s="222" t="s">
        <v>2851</v>
      </c>
      <c r="F74" s="625" t="s">
        <v>2892</v>
      </c>
      <c r="G74" s="626"/>
      <c r="H74" s="225">
        <f>SUMIF('pdc2019'!$J$8:$J$1169,'CE statale'!$A74,'pdc2019'!$Q$8:$Q$1169)</f>
        <v>11144000</v>
      </c>
      <c r="I74" s="225">
        <f>SUMIF('pdc2019'!$J$8:$J$1169,'CE statale'!$A74,'pdc2019'!$P$8:$P$1169)</f>
        <v>10344000</v>
      </c>
      <c r="J74" s="226">
        <f t="shared" si="2"/>
        <v>800000</v>
      </c>
      <c r="K74" s="227">
        <f t="shared" si="3"/>
        <v>7.7339520494972933E-2</v>
      </c>
      <c r="L74" s="209"/>
      <c r="M74" s="298">
        <f>SUMIF('pdc2019'!$J$8:$J$1169,'CE statale'!$A74,'pdc2019'!$N$8:$N$1169)</f>
        <v>10343209.210000001</v>
      </c>
    </row>
    <row r="75" spans="1:13" s="79" customFormat="1">
      <c r="A75" s="209" t="s">
        <v>2893</v>
      </c>
      <c r="B75" s="240"/>
      <c r="C75" s="216"/>
      <c r="D75" s="256"/>
      <c r="E75" s="222" t="s">
        <v>2853</v>
      </c>
      <c r="F75" s="625" t="s">
        <v>2894</v>
      </c>
      <c r="G75" s="626"/>
      <c r="H75" s="217">
        <f>SUMIF('pdc2019'!$J$8:$J$1169,'CE statale'!$A75,'pdc2019'!$Q$8:$Q$1169)</f>
        <v>0</v>
      </c>
      <c r="I75" s="217">
        <f>SUMIF('pdc2019'!$J$8:$J$1169,'CE statale'!$A75,'pdc2019'!$P$8:$P$1169)</f>
        <v>0</v>
      </c>
      <c r="J75" s="218">
        <f t="shared" si="2"/>
        <v>0</v>
      </c>
      <c r="K75" s="219" t="str">
        <f t="shared" si="3"/>
        <v xml:space="preserve">-    </v>
      </c>
      <c r="L75" s="214"/>
      <c r="M75" s="297">
        <f>SUMIF('pdc2019'!$J$8:$J$1169,'CE statale'!$A75,'pdc2019'!$N$8:$N$1169)</f>
        <v>0</v>
      </c>
    </row>
    <row r="76" spans="1:13" s="79" customFormat="1">
      <c r="A76" s="209" t="s">
        <v>2895</v>
      </c>
      <c r="B76" s="240"/>
      <c r="C76" s="216"/>
      <c r="D76" s="256"/>
      <c r="E76" s="222" t="s">
        <v>3542</v>
      </c>
      <c r="F76" s="625" t="s">
        <v>1036</v>
      </c>
      <c r="G76" s="626"/>
      <c r="H76" s="225">
        <f>SUMIF('pdc2019'!$J$8:$J$1169,'CE statale'!$A76,'pdc2019'!$Q$8:$Q$1169)</f>
        <v>15720000</v>
      </c>
      <c r="I76" s="225">
        <f>SUMIF('pdc2019'!$J$8:$J$1169,'CE statale'!$A76,'pdc2019'!$P$8:$P$1169)</f>
        <v>15720000</v>
      </c>
      <c r="J76" s="226">
        <f t="shared" si="2"/>
        <v>0</v>
      </c>
      <c r="K76" s="227">
        <f t="shared" si="3"/>
        <v>0</v>
      </c>
      <c r="L76" s="214"/>
      <c r="M76" s="298">
        <f>SUMIF('pdc2019'!$J$8:$J$1169,'CE statale'!$A76,'pdc2019'!$N$8:$N$1169)</f>
        <v>15719662.789999999</v>
      </c>
    </row>
    <row r="77" spans="1:13" s="79" customFormat="1">
      <c r="A77" s="209" t="s">
        <v>1073</v>
      </c>
      <c r="B77" s="240"/>
      <c r="C77" s="216" t="s">
        <v>3573</v>
      </c>
      <c r="D77" s="628" t="s">
        <v>2896</v>
      </c>
      <c r="E77" s="628"/>
      <c r="F77" s="628"/>
      <c r="G77" s="629"/>
      <c r="H77" s="217">
        <f>SUMIF('pdc2019'!$J$8:$J$1169,'CE statale'!$A77,'pdc2019'!$Q$8:$Q$1169)</f>
        <v>1050000</v>
      </c>
      <c r="I77" s="217">
        <f>SUMIF('pdc2019'!$J$8:$J$1169,'CE statale'!$A77,'pdc2019'!$P$8:$P$1169)</f>
        <v>1050000</v>
      </c>
      <c r="J77" s="218">
        <f t="shared" si="2"/>
        <v>0</v>
      </c>
      <c r="K77" s="219">
        <f t="shared" si="3"/>
        <v>0</v>
      </c>
      <c r="L77" s="214"/>
      <c r="M77" s="297">
        <f>SUMIF('pdc2019'!$J$8:$J$1169,'CE statale'!$A77,'pdc2019'!$N$8:$N$1169)</f>
        <v>965046.87</v>
      </c>
    </row>
    <row r="78" spans="1:13" s="79" customFormat="1">
      <c r="A78" s="209"/>
      <c r="B78" s="240"/>
      <c r="C78" s="216" t="s">
        <v>2897</v>
      </c>
      <c r="D78" s="628" t="s">
        <v>1478</v>
      </c>
      <c r="E78" s="628"/>
      <c r="F78" s="628"/>
      <c r="G78" s="629"/>
      <c r="H78" s="217">
        <f>SUM(H79:H80)</f>
        <v>155000</v>
      </c>
      <c r="I78" s="217">
        <f>SUM(I79:I80)</f>
        <v>155000</v>
      </c>
      <c r="J78" s="218">
        <f t="shared" si="2"/>
        <v>0</v>
      </c>
      <c r="K78" s="219">
        <f t="shared" si="3"/>
        <v>0</v>
      </c>
      <c r="L78" s="214"/>
      <c r="M78" s="297">
        <f>SUM(M79:M80)</f>
        <v>-1871889.1600000001</v>
      </c>
    </row>
    <row r="79" spans="1:13" s="55" customFormat="1">
      <c r="A79" s="209" t="s">
        <v>2898</v>
      </c>
      <c r="B79" s="257"/>
      <c r="C79" s="250"/>
      <c r="D79" s="254"/>
      <c r="E79" s="222" t="s">
        <v>2851</v>
      </c>
      <c r="F79" s="625" t="s">
        <v>2899</v>
      </c>
      <c r="G79" s="626"/>
      <c r="H79" s="225">
        <f>SUMIF('pdc2019'!$J$8:$J$1169,'CE statale'!$A79,'pdc2019'!$Q$8:$Q$1169)</f>
        <v>110000</v>
      </c>
      <c r="I79" s="225">
        <f>SUMIF('pdc2019'!$J$8:$J$1169,'CE statale'!$A79,'pdc2019'!$P$8:$P$1169)</f>
        <v>110000</v>
      </c>
      <c r="J79" s="226">
        <f t="shared" si="2"/>
        <v>0</v>
      </c>
      <c r="K79" s="227">
        <f t="shared" si="3"/>
        <v>0</v>
      </c>
      <c r="L79" s="209"/>
      <c r="M79" s="298">
        <f>SUMIF('pdc2019'!$J$8:$J$1169,'CE statale'!$A79,'pdc2019'!$N$8:$N$1169)</f>
        <v>-1880572.1600000001</v>
      </c>
    </row>
    <row r="80" spans="1:13" s="55" customFormat="1">
      <c r="A80" s="209" t="s">
        <v>2900</v>
      </c>
      <c r="B80" s="257"/>
      <c r="C80" s="250"/>
      <c r="D80" s="254"/>
      <c r="E80" s="222" t="s">
        <v>2853</v>
      </c>
      <c r="F80" s="625" t="s">
        <v>2901</v>
      </c>
      <c r="G80" s="626"/>
      <c r="H80" s="225">
        <f>SUMIF('pdc2019'!$J$8:$J$1169,'CE statale'!$A80,'pdc2019'!$Q$8:$Q$1169)</f>
        <v>45000</v>
      </c>
      <c r="I80" s="225">
        <f>SUMIF('pdc2019'!$J$8:$J$1169,'CE statale'!$A80,'pdc2019'!$P$8:$P$1169)</f>
        <v>45000</v>
      </c>
      <c r="J80" s="226">
        <f t="shared" si="2"/>
        <v>0</v>
      </c>
      <c r="K80" s="227">
        <f t="shared" si="3"/>
        <v>0</v>
      </c>
      <c r="L80" s="209"/>
      <c r="M80" s="298">
        <f>SUMIF('pdc2019'!$J$8:$J$1169,'CE statale'!$A80,'pdc2019'!$N$8:$N$1169)</f>
        <v>8682.9999999999927</v>
      </c>
    </row>
    <row r="81" spans="1:13" s="79" customFormat="1">
      <c r="A81" s="209"/>
      <c r="B81" s="257"/>
      <c r="C81" s="216" t="s">
        <v>2902</v>
      </c>
      <c r="D81" s="628" t="s">
        <v>2903</v>
      </c>
      <c r="E81" s="628"/>
      <c r="F81" s="628"/>
      <c r="G81" s="629"/>
      <c r="H81" s="217">
        <f>SUM(H82:H85)</f>
        <v>8722000</v>
      </c>
      <c r="I81" s="217">
        <f>SUM(I82:I85)</f>
        <v>8722000</v>
      </c>
      <c r="J81" s="218">
        <f t="shared" si="2"/>
        <v>0</v>
      </c>
      <c r="K81" s="219">
        <f t="shared" si="3"/>
        <v>0</v>
      </c>
      <c r="L81" s="214"/>
      <c r="M81" s="297">
        <f>SUM(M82:M85)</f>
        <v>11300394.59</v>
      </c>
    </row>
    <row r="82" spans="1:13" s="55" customFormat="1">
      <c r="A82" s="209" t="s">
        <v>2904</v>
      </c>
      <c r="B82" s="257"/>
      <c r="C82" s="250"/>
      <c r="D82" s="254"/>
      <c r="E82" s="222" t="s">
        <v>2851</v>
      </c>
      <c r="F82" s="625" t="s">
        <v>1480</v>
      </c>
      <c r="G82" s="626"/>
      <c r="H82" s="225">
        <f>SUMIF('pdc2019'!$J$8:$J$1169,'CE statale'!$A82,'pdc2019'!$Q$8:$Q$1169)</f>
        <v>228000</v>
      </c>
      <c r="I82" s="225">
        <f>SUMIF('pdc2019'!$J$8:$J$1169,'CE statale'!$A82,'pdc2019'!$P$8:$P$1169)</f>
        <v>228000</v>
      </c>
      <c r="J82" s="226">
        <f t="shared" si="2"/>
        <v>0</v>
      </c>
      <c r="K82" s="227">
        <f t="shared" si="3"/>
        <v>0</v>
      </c>
      <c r="L82" s="209"/>
      <c r="M82" s="298">
        <f>SUMIF('pdc2019'!$J$8:$J$1169,'CE statale'!$A82,'pdc2019'!$N$8:$N$1169)</f>
        <v>400822.15</v>
      </c>
    </row>
    <row r="83" spans="1:13" s="55" customFormat="1">
      <c r="A83" s="209" t="s">
        <v>2905</v>
      </c>
      <c r="B83" s="257"/>
      <c r="C83" s="250"/>
      <c r="D83" s="254"/>
      <c r="E83" s="222" t="s">
        <v>2853</v>
      </c>
      <c r="F83" s="625" t="s">
        <v>2906</v>
      </c>
      <c r="G83" s="626"/>
      <c r="H83" s="225">
        <f>SUMIF('pdc2019'!$J$8:$J$1169,'CE statale'!$A83,'pdc2019'!$Q$8:$Q$1169)</f>
        <v>50000</v>
      </c>
      <c r="I83" s="225">
        <f>SUMIF('pdc2019'!$J$8:$J$1169,'CE statale'!$A83,'pdc2019'!$P$8:$P$1169)</f>
        <v>50000</v>
      </c>
      <c r="J83" s="226">
        <f t="shared" si="2"/>
        <v>0</v>
      </c>
      <c r="K83" s="227">
        <f t="shared" si="3"/>
        <v>0</v>
      </c>
      <c r="L83" s="209"/>
      <c r="M83" s="298">
        <f>SUMIF('pdc2019'!$J$8:$J$1169,'CE statale'!$A83,'pdc2019'!$N$8:$N$1169)</f>
        <v>25000</v>
      </c>
    </row>
    <row r="84" spans="1:13" s="55" customFormat="1">
      <c r="A84" s="209" t="s">
        <v>2907</v>
      </c>
      <c r="B84" s="257"/>
      <c r="C84" s="250"/>
      <c r="D84" s="254"/>
      <c r="E84" s="222" t="s">
        <v>3542</v>
      </c>
      <c r="F84" s="625" t="s">
        <v>2908</v>
      </c>
      <c r="G84" s="626"/>
      <c r="H84" s="225">
        <f>SUMIF('pdc2019'!$J$8:$J$1169,'CE statale'!$A84,'pdc2019'!$Q$8:$Q$1169)</f>
        <v>0</v>
      </c>
      <c r="I84" s="225">
        <f>SUMIF('pdc2019'!$J$8:$J$1169,'CE statale'!$A84,'pdc2019'!$P$8:$P$1169)</f>
        <v>0</v>
      </c>
      <c r="J84" s="226">
        <f t="shared" si="2"/>
        <v>0</v>
      </c>
      <c r="K84" s="227" t="str">
        <f t="shared" si="3"/>
        <v xml:space="preserve">-    </v>
      </c>
      <c r="L84" s="209"/>
      <c r="M84" s="298">
        <f>SUMIF('pdc2019'!$J$8:$J$1169,'CE statale'!$A84,'pdc2019'!$N$8:$N$1169)</f>
        <v>78942.33</v>
      </c>
    </row>
    <row r="85" spans="1:13" s="55" customFormat="1">
      <c r="A85" s="209" t="s">
        <v>2909</v>
      </c>
      <c r="B85" s="257"/>
      <c r="C85" s="250"/>
      <c r="D85" s="254"/>
      <c r="E85" s="222" t="s">
        <v>3550</v>
      </c>
      <c r="F85" s="625" t="s">
        <v>2725</v>
      </c>
      <c r="G85" s="626"/>
      <c r="H85" s="225">
        <f>SUMIF('pdc2019'!$J$8:$J$1169,'CE statale'!$A85,'pdc2019'!$Q$8:$Q$1169)</f>
        <v>8444000</v>
      </c>
      <c r="I85" s="225">
        <f>SUMIF('pdc2019'!$J$8:$J$1169,'CE statale'!$A85,'pdc2019'!$P$8:$P$1169)</f>
        <v>8444000</v>
      </c>
      <c r="J85" s="226">
        <f t="shared" si="2"/>
        <v>0</v>
      </c>
      <c r="K85" s="227">
        <f t="shared" si="3"/>
        <v>0</v>
      </c>
      <c r="L85" s="209"/>
      <c r="M85" s="298">
        <f>SUMIF('pdc2019'!$J$8:$J$1169,'CE statale'!$A85,'pdc2019'!$N$8:$N$1169)</f>
        <v>10795630.109999999</v>
      </c>
    </row>
    <row r="86" spans="1:13" s="79" customFormat="1">
      <c r="A86" s="209"/>
      <c r="B86" s="241"/>
      <c r="C86" s="242" t="s">
        <v>2910</v>
      </c>
      <c r="D86" s="242"/>
      <c r="E86" s="242"/>
      <c r="F86" s="242"/>
      <c r="G86" s="243"/>
      <c r="H86" s="244">
        <f>H39+H42+H60+H64+H65+H66+H72+H73+H77+H78+H81</f>
        <v>1349938042.5699999</v>
      </c>
      <c r="I86" s="244">
        <f>I39+I42+I60+I64+I65+I66+I72+I73+I77+I78+I81</f>
        <v>1314106500</v>
      </c>
      <c r="J86" s="245">
        <f t="shared" si="2"/>
        <v>35831542.569999933</v>
      </c>
      <c r="K86" s="246">
        <f t="shared" si="3"/>
        <v>2.7266848288171417E-2</v>
      </c>
      <c r="L86" s="214"/>
      <c r="M86" s="300">
        <f>M39+M42+M60+M64+M65+M66+M72+M73+M77+M78+M81</f>
        <v>1281919575.6999996</v>
      </c>
    </row>
    <row r="87" spans="1:13" s="55" customFormat="1" ht="15.75" thickBot="1">
      <c r="A87" s="209"/>
      <c r="B87" s="257"/>
      <c r="C87" s="222"/>
      <c r="D87" s="254"/>
      <c r="E87" s="251"/>
      <c r="F87" s="254"/>
      <c r="G87" s="255"/>
      <c r="H87" s="225"/>
      <c r="I87" s="225"/>
      <c r="J87" s="226"/>
      <c r="K87" s="227"/>
      <c r="L87" s="209"/>
      <c r="M87" s="298"/>
    </row>
    <row r="88" spans="1:13" s="81" customFormat="1" ht="16.5" thickTop="1" thickBot="1">
      <c r="A88" s="258"/>
      <c r="B88" s="635" t="s">
        <v>2911</v>
      </c>
      <c r="C88" s="636"/>
      <c r="D88" s="636"/>
      <c r="E88" s="636"/>
      <c r="F88" s="636"/>
      <c r="G88" s="637"/>
      <c r="H88" s="262">
        <f>H36-H86</f>
        <v>35617500</v>
      </c>
      <c r="I88" s="262">
        <f>I36-I86</f>
        <v>55311206.930000067</v>
      </c>
      <c r="J88" s="263">
        <f>H88-I88</f>
        <v>-19693706.930000067</v>
      </c>
      <c r="K88" s="264">
        <f>IF(I88=0,"-    ",J88/I88)</f>
        <v>-0.3560527427095152</v>
      </c>
      <c r="L88" s="265"/>
      <c r="M88" s="301">
        <f>M36-M86</f>
        <v>50838577.310000658</v>
      </c>
    </row>
    <row r="89" spans="1:13" s="81" customFormat="1" ht="15.75" thickTop="1">
      <c r="A89" s="258"/>
      <c r="B89" s="267"/>
      <c r="C89" s="268"/>
      <c r="D89" s="268"/>
      <c r="E89" s="269"/>
      <c r="F89" s="270"/>
      <c r="G89" s="271"/>
      <c r="H89" s="272"/>
      <c r="I89" s="272"/>
      <c r="J89" s="273"/>
      <c r="K89" s="274"/>
      <c r="L89" s="265"/>
      <c r="M89" s="302"/>
    </row>
    <row r="90" spans="1:13" s="79" customFormat="1">
      <c r="A90" s="209"/>
      <c r="B90" s="215" t="s">
        <v>2262</v>
      </c>
      <c r="C90" s="630" t="s">
        <v>1483</v>
      </c>
      <c r="D90" s="630"/>
      <c r="E90" s="630"/>
      <c r="F90" s="630"/>
      <c r="G90" s="631"/>
      <c r="H90" s="217"/>
      <c r="I90" s="217"/>
      <c r="J90" s="218"/>
      <c r="K90" s="219"/>
      <c r="L90" s="214"/>
      <c r="M90" s="297"/>
    </row>
    <row r="91" spans="1:13" s="79" customFormat="1">
      <c r="A91" s="209" t="s">
        <v>2912</v>
      </c>
      <c r="B91" s="240"/>
      <c r="C91" s="216" t="s">
        <v>2849</v>
      </c>
      <c r="D91" s="628" t="s">
        <v>2913</v>
      </c>
      <c r="E91" s="628"/>
      <c r="F91" s="628"/>
      <c r="G91" s="629"/>
      <c r="H91" s="217">
        <f>SUMIF('pdc2019'!$J$8:$J$1169,'CE statale'!$A91,'pdc2019'!$Q$8:$Q$1169)</f>
        <v>15000</v>
      </c>
      <c r="I91" s="217">
        <f>SUMIF('pdc2019'!$J$8:$J$1169,'CE statale'!$A91,'pdc2019'!$P$8:$P$1169)</f>
        <v>15032.77</v>
      </c>
      <c r="J91" s="218">
        <f>H91-I91</f>
        <v>-32.770000000000437</v>
      </c>
      <c r="K91" s="219">
        <f>IF(I91=0,"-    ",J91/I91)</f>
        <v>-2.1799043024007176E-3</v>
      </c>
      <c r="L91" s="214"/>
      <c r="M91" s="297">
        <f>SUMIF('pdc2019'!$J$8:$J$1169,'CE statale'!$A91,'pdc2019'!$N$8:$N$1169)</f>
        <v>19419.93</v>
      </c>
    </row>
    <row r="92" spans="1:13" s="79" customFormat="1">
      <c r="A92" s="209" t="s">
        <v>2914</v>
      </c>
      <c r="B92" s="240"/>
      <c r="C92" s="216" t="s">
        <v>2858</v>
      </c>
      <c r="D92" s="628" t="s">
        <v>2915</v>
      </c>
      <c r="E92" s="628"/>
      <c r="F92" s="628"/>
      <c r="G92" s="629"/>
      <c r="H92" s="217">
        <f>SUMIF('pdc2019'!$J$8:$J$1169,'CE statale'!$A92,'pdc2019'!$Q$8:$Q$1169)</f>
        <v>21000</v>
      </c>
      <c r="I92" s="217">
        <f>SUMIF('pdc2019'!$J$8:$J$1169,'CE statale'!$A92,'pdc2019'!$P$8:$P$1169)</f>
        <v>69000</v>
      </c>
      <c r="J92" s="218">
        <f>H92-I92</f>
        <v>-48000</v>
      </c>
      <c r="K92" s="219">
        <f>IF(I92=0,"-    ",J92/I92)</f>
        <v>-0.69565217391304346</v>
      </c>
      <c r="L92" s="214"/>
      <c r="M92" s="297">
        <f>SUMIF('pdc2019'!$J$8:$J$1169,'CE statale'!$A92,'pdc2019'!$N$8:$N$1169)</f>
        <v>87181.750000000015</v>
      </c>
    </row>
    <row r="93" spans="1:13" s="79" customFormat="1">
      <c r="A93" s="209"/>
      <c r="B93" s="241"/>
      <c r="C93" s="242" t="s">
        <v>2916</v>
      </c>
      <c r="D93" s="242"/>
      <c r="E93" s="242"/>
      <c r="F93" s="242"/>
      <c r="G93" s="243"/>
      <c r="H93" s="244">
        <f>+H91-H92</f>
        <v>-6000</v>
      </c>
      <c r="I93" s="244">
        <f>+I91-I92</f>
        <v>-53967.229999999996</v>
      </c>
      <c r="J93" s="245">
        <f>H93-I93</f>
        <v>47967.229999999996</v>
      </c>
      <c r="K93" s="246">
        <f>IF(I93=0,"-    ",J93/I93)</f>
        <v>-0.88882141996170638</v>
      </c>
      <c r="L93" s="214"/>
      <c r="M93" s="300">
        <f>+M91-M92</f>
        <v>-67761.820000000007</v>
      </c>
    </row>
    <row r="94" spans="1:13" s="55" customFormat="1">
      <c r="A94" s="209"/>
      <c r="B94" s="248"/>
      <c r="C94" s="222"/>
      <c r="D94" s="254"/>
      <c r="E94" s="249"/>
      <c r="F94" s="254"/>
      <c r="G94" s="255"/>
      <c r="H94" s="225"/>
      <c r="I94" s="225"/>
      <c r="J94" s="226"/>
      <c r="K94" s="227"/>
      <c r="L94" s="209"/>
      <c r="M94" s="298"/>
    </row>
    <row r="95" spans="1:13" s="79" customFormat="1">
      <c r="A95" s="209"/>
      <c r="B95" s="215" t="s">
        <v>2363</v>
      </c>
      <c r="C95" s="630" t="s">
        <v>1485</v>
      </c>
      <c r="D95" s="630"/>
      <c r="E95" s="630"/>
      <c r="F95" s="630"/>
      <c r="G95" s="631"/>
      <c r="H95" s="217"/>
      <c r="I95" s="217"/>
      <c r="J95" s="218"/>
      <c r="K95" s="219"/>
      <c r="L95" s="214"/>
      <c r="M95" s="297"/>
    </row>
    <row r="96" spans="1:13" s="79" customFormat="1">
      <c r="A96" s="209" t="s">
        <v>771</v>
      </c>
      <c r="B96" s="240"/>
      <c r="C96" s="216" t="s">
        <v>2849</v>
      </c>
      <c r="D96" s="628" t="s">
        <v>770</v>
      </c>
      <c r="E96" s="628"/>
      <c r="F96" s="628"/>
      <c r="G96" s="629"/>
      <c r="H96" s="217">
        <f>SUMIF('pdc2019'!$J$8:$J$1169,'CE statale'!$A96,'pdc2019'!$Q$8:$Q$1169)</f>
        <v>0</v>
      </c>
      <c r="I96" s="217">
        <f>SUMIF('pdc2019'!$J$8:$J$1169,'CE statale'!$A96,'pdc2019'!$P$8:$P$1169)</f>
        <v>0</v>
      </c>
      <c r="J96" s="218">
        <f>H96-I96</f>
        <v>0</v>
      </c>
      <c r="K96" s="219" t="str">
        <f>IF(I96=0,"-    ",J96/I96)</f>
        <v xml:space="preserve">-    </v>
      </c>
      <c r="L96" s="214"/>
      <c r="M96" s="297">
        <f>SUMIF('pdc2019'!$J$8:$J$1169,'CE statale'!$A96,'pdc2019'!$N$8:$N$1169)</f>
        <v>6503.01</v>
      </c>
    </row>
    <row r="97" spans="1:13" s="79" customFormat="1">
      <c r="A97" s="209" t="s">
        <v>1798</v>
      </c>
      <c r="B97" s="240"/>
      <c r="C97" s="216" t="s">
        <v>2858</v>
      </c>
      <c r="D97" s="628" t="s">
        <v>1797</v>
      </c>
      <c r="E97" s="628"/>
      <c r="F97" s="628"/>
      <c r="G97" s="629"/>
      <c r="H97" s="217">
        <f>SUMIF('pdc2019'!$J$8:$J$1169,'CE statale'!$A97,'pdc2019'!$Q$8:$Q$1169)</f>
        <v>0</v>
      </c>
      <c r="I97" s="217">
        <f>SUMIF('pdc2019'!$J$8:$J$1169,'CE statale'!$A97,'pdc2019'!$P$8:$P$1169)</f>
        <v>0</v>
      </c>
      <c r="J97" s="218">
        <f>H97-I97</f>
        <v>0</v>
      </c>
      <c r="K97" s="219" t="str">
        <f>IF(I97=0,"-    ",J97/I97)</f>
        <v xml:space="preserve">-    </v>
      </c>
      <c r="L97" s="214"/>
      <c r="M97" s="297">
        <f>SUMIF('pdc2019'!$J$8:$J$1169,'CE statale'!$A97,'pdc2019'!$N$8:$N$1169)</f>
        <v>0</v>
      </c>
    </row>
    <row r="98" spans="1:13" s="79" customFormat="1">
      <c r="A98" s="209"/>
      <c r="B98" s="241"/>
      <c r="C98" s="242" t="s">
        <v>2917</v>
      </c>
      <c r="D98" s="242"/>
      <c r="E98" s="242"/>
      <c r="F98" s="242"/>
      <c r="G98" s="243"/>
      <c r="H98" s="244">
        <f>H96-H97</f>
        <v>0</v>
      </c>
      <c r="I98" s="244">
        <f>I96-I97</f>
        <v>0</v>
      </c>
      <c r="J98" s="245">
        <f>H98-I98</f>
        <v>0</v>
      </c>
      <c r="K98" s="246" t="str">
        <f>IF(I98=0,"-    ",J98/I98)</f>
        <v xml:space="preserve">-    </v>
      </c>
      <c r="L98" s="214"/>
      <c r="M98" s="300">
        <f>M96-M97</f>
        <v>6503.01</v>
      </c>
    </row>
    <row r="99" spans="1:13" s="55" customFormat="1">
      <c r="A99" s="209"/>
      <c r="B99" s="248"/>
      <c r="C99" s="222"/>
      <c r="D99" s="251"/>
      <c r="E99" s="249"/>
      <c r="F99" s="223"/>
      <c r="G99" s="224"/>
      <c r="H99" s="225"/>
      <c r="I99" s="225"/>
      <c r="J99" s="226"/>
      <c r="K99" s="227"/>
      <c r="L99" s="209"/>
      <c r="M99" s="298"/>
    </row>
    <row r="100" spans="1:13" s="79" customFormat="1">
      <c r="A100" s="209"/>
      <c r="B100" s="215" t="s">
        <v>1488</v>
      </c>
      <c r="C100" s="630" t="s">
        <v>1490</v>
      </c>
      <c r="D100" s="630"/>
      <c r="E100" s="630"/>
      <c r="F100" s="630"/>
      <c r="G100" s="631"/>
      <c r="H100" s="217"/>
      <c r="I100" s="217"/>
      <c r="J100" s="218"/>
      <c r="K100" s="219"/>
      <c r="L100" s="214"/>
      <c r="M100" s="297"/>
    </row>
    <row r="101" spans="1:13" s="79" customFormat="1">
      <c r="A101" s="209"/>
      <c r="B101" s="240"/>
      <c r="C101" s="216" t="s">
        <v>2849</v>
      </c>
      <c r="D101" s="628" t="s">
        <v>2918</v>
      </c>
      <c r="E101" s="628"/>
      <c r="F101" s="628"/>
      <c r="G101" s="629"/>
      <c r="H101" s="217">
        <f>SUM(H102:H103)</f>
        <v>5010000</v>
      </c>
      <c r="I101" s="217">
        <f>SUM(I102:I103)</f>
        <v>7468474.8800000008</v>
      </c>
      <c r="J101" s="218">
        <f t="shared" ref="J101:J107" si="4">H101-I101</f>
        <v>-2458474.8800000008</v>
      </c>
      <c r="K101" s="219">
        <f t="shared" ref="K101:K107" si="5">IF(I101=0,"-    ",J101/I101)</f>
        <v>-0.32918031050537599</v>
      </c>
      <c r="L101" s="214"/>
      <c r="M101" s="297">
        <f>SUM(M102:M103)</f>
        <v>11097671.699999999</v>
      </c>
    </row>
    <row r="102" spans="1:13" s="55" customFormat="1">
      <c r="A102" s="209" t="s">
        <v>2</v>
      </c>
      <c r="B102" s="248"/>
      <c r="C102" s="250"/>
      <c r="D102" s="254"/>
      <c r="E102" s="222" t="s">
        <v>2851</v>
      </c>
      <c r="F102" s="625" t="s">
        <v>1</v>
      </c>
      <c r="G102" s="626"/>
      <c r="H102" s="225">
        <f>SUMIF('pdc2019'!$J$8:$J$1169,'CE statale'!$A102,'pdc2019'!$Q$8:$Q$1169)</f>
        <v>0</v>
      </c>
      <c r="I102" s="225">
        <f>SUMIF('pdc2019'!$J$8:$J$1169,'CE statale'!$A102,'pdc2019'!$P$8:$P$1169)</f>
        <v>0</v>
      </c>
      <c r="J102" s="226">
        <f t="shared" si="4"/>
        <v>0</v>
      </c>
      <c r="K102" s="227" t="str">
        <f t="shared" si="5"/>
        <v xml:space="preserve">-    </v>
      </c>
      <c r="L102" s="209"/>
      <c r="M102" s="298">
        <f>SUMIF('pdc2019'!$J$8:$J$1169,'CE statale'!$A102,'pdc2019'!$N$8:$N$1169)</f>
        <v>0</v>
      </c>
    </row>
    <row r="103" spans="1:13" s="55" customFormat="1">
      <c r="A103" s="209" t="s">
        <v>740</v>
      </c>
      <c r="B103" s="248"/>
      <c r="C103" s="250"/>
      <c r="D103" s="254"/>
      <c r="E103" s="222" t="s">
        <v>2853</v>
      </c>
      <c r="F103" s="625" t="s">
        <v>745</v>
      </c>
      <c r="G103" s="626"/>
      <c r="H103" s="225">
        <f>SUMIF('pdc2019'!$J$8:$J$1169,'CE statale'!$A103,'pdc2019'!$Q$8:$Q$1169)</f>
        <v>5010000</v>
      </c>
      <c r="I103" s="225">
        <f>SUMIF('pdc2019'!$J$8:$J$1169,'CE statale'!$A103,'pdc2019'!$P$8:$P$1169)</f>
        <v>7468474.8800000008</v>
      </c>
      <c r="J103" s="226">
        <f t="shared" si="4"/>
        <v>-2458474.8800000008</v>
      </c>
      <c r="K103" s="227">
        <f t="shared" si="5"/>
        <v>-0.32918031050537599</v>
      </c>
      <c r="L103" s="209"/>
      <c r="M103" s="298">
        <f>SUMIF('pdc2019'!$J$8:$J$1169,'CE statale'!$A103,'pdc2019'!$N$8:$N$1169)</f>
        <v>11097671.699999999</v>
      </c>
    </row>
    <row r="104" spans="1:13" s="79" customFormat="1">
      <c r="A104" s="209"/>
      <c r="B104" s="240"/>
      <c r="C104" s="216" t="s">
        <v>2858</v>
      </c>
      <c r="D104" s="628" t="s">
        <v>2919</v>
      </c>
      <c r="E104" s="628"/>
      <c r="F104" s="628"/>
      <c r="G104" s="629"/>
      <c r="H104" s="217">
        <f>SUM(H105:H106)</f>
        <v>152500</v>
      </c>
      <c r="I104" s="217">
        <f>SUM(I105:I106)</f>
        <v>680154.14</v>
      </c>
      <c r="J104" s="218">
        <f t="shared" si="4"/>
        <v>-527654.14</v>
      </c>
      <c r="K104" s="219">
        <f t="shared" si="5"/>
        <v>-0.77578611812904641</v>
      </c>
      <c r="L104" s="214"/>
      <c r="M104" s="297">
        <f>SUM(M105:M106)</f>
        <v>4731051.8200000012</v>
      </c>
    </row>
    <row r="105" spans="1:13" s="55" customFormat="1">
      <c r="A105" s="209" t="s">
        <v>1821</v>
      </c>
      <c r="B105" s="248"/>
      <c r="C105" s="250"/>
      <c r="D105" s="254"/>
      <c r="E105" s="222" t="s">
        <v>2851</v>
      </c>
      <c r="F105" s="625" t="s">
        <v>1818</v>
      </c>
      <c r="G105" s="626"/>
      <c r="H105" s="225">
        <f>SUMIF('pdc2019'!$J$8:$J$1169,'CE statale'!$A105,'pdc2019'!$Q$8:$Q$1169)</f>
        <v>52000</v>
      </c>
      <c r="I105" s="225">
        <f>SUMIF('pdc2019'!$J$8:$J$1169,'CE statale'!$A105,'pdc2019'!$P$8:$P$1169)</f>
        <v>52000</v>
      </c>
      <c r="J105" s="226">
        <f t="shared" si="4"/>
        <v>0</v>
      </c>
      <c r="K105" s="227">
        <f t="shared" si="5"/>
        <v>0</v>
      </c>
      <c r="L105" s="209"/>
      <c r="M105" s="298">
        <f>SUMIF('pdc2019'!$J$8:$J$1169,'CE statale'!$A105,'pdc2019'!$N$8:$N$1169)</f>
        <v>51769.03</v>
      </c>
    </row>
    <row r="106" spans="1:13" s="55" customFormat="1">
      <c r="A106" s="209" t="s">
        <v>1775</v>
      </c>
      <c r="B106" s="248"/>
      <c r="C106" s="250"/>
      <c r="D106" s="254"/>
      <c r="E106" s="222" t="s">
        <v>2853</v>
      </c>
      <c r="F106" s="625" t="s">
        <v>1779</v>
      </c>
      <c r="G106" s="626"/>
      <c r="H106" s="225">
        <f>SUMIF('pdc2019'!$J$8:$J$1169,'CE statale'!$A106,'pdc2019'!$Q$8:$Q$1169)</f>
        <v>100500</v>
      </c>
      <c r="I106" s="225">
        <f>SUMIF('pdc2019'!$J$8:$J$1169,'CE statale'!$A106,'pdc2019'!$P$8:$P$1169)</f>
        <v>628154.14</v>
      </c>
      <c r="J106" s="226">
        <f t="shared" si="4"/>
        <v>-527654.14</v>
      </c>
      <c r="K106" s="227">
        <f t="shared" si="5"/>
        <v>-0.84000742238202875</v>
      </c>
      <c r="L106" s="209"/>
      <c r="M106" s="298">
        <f>SUMIF('pdc2019'!$J$8:$J$1169,'CE statale'!$A106,'pdc2019'!$N$8:$N$1169)</f>
        <v>4679282.790000001</v>
      </c>
    </row>
    <row r="107" spans="1:13" s="79" customFormat="1">
      <c r="A107" s="209"/>
      <c r="B107" s="241"/>
      <c r="C107" s="242" t="s">
        <v>2920</v>
      </c>
      <c r="D107" s="242"/>
      <c r="E107" s="242"/>
      <c r="F107" s="242"/>
      <c r="G107" s="243"/>
      <c r="H107" s="244">
        <f>H101-H104</f>
        <v>4857500</v>
      </c>
      <c r="I107" s="244">
        <f>I101-I104</f>
        <v>6788320.7400000012</v>
      </c>
      <c r="J107" s="245">
        <f t="shared" si="4"/>
        <v>-1930820.7400000012</v>
      </c>
      <c r="K107" s="246">
        <f t="shared" si="5"/>
        <v>-0.28443275059510531</v>
      </c>
      <c r="L107" s="214"/>
      <c r="M107" s="300">
        <f>M101-M104</f>
        <v>6366619.879999998</v>
      </c>
    </row>
    <row r="108" spans="1:13" s="55" customFormat="1" ht="15.75" thickBot="1">
      <c r="A108" s="209"/>
      <c r="B108" s="257"/>
      <c r="C108" s="222"/>
      <c r="D108" s="254"/>
      <c r="E108" s="251"/>
      <c r="F108" s="254"/>
      <c r="G108" s="255"/>
      <c r="H108" s="225"/>
      <c r="I108" s="225"/>
      <c r="J108" s="226"/>
      <c r="K108" s="227"/>
      <c r="L108" s="209"/>
      <c r="M108" s="298"/>
    </row>
    <row r="109" spans="1:13" s="81" customFormat="1" ht="16.5" thickTop="1" thickBot="1">
      <c r="A109" s="258"/>
      <c r="B109" s="259" t="s">
        <v>2921</v>
      </c>
      <c r="C109" s="260"/>
      <c r="D109" s="260"/>
      <c r="E109" s="260"/>
      <c r="F109" s="260"/>
      <c r="G109" s="261"/>
      <c r="H109" s="262">
        <f>H88+H93+H98+H107</f>
        <v>40469000</v>
      </c>
      <c r="I109" s="262">
        <f>I88+I93+I98+I107</f>
        <v>62045560.440000072</v>
      </c>
      <c r="J109" s="263">
        <f>H109-I109</f>
        <v>-21576560.440000072</v>
      </c>
      <c r="K109" s="264">
        <f>IF(I109=0,"-    ",J109/I109)</f>
        <v>-0.34775349415797857</v>
      </c>
      <c r="L109" s="265"/>
      <c r="M109" s="301">
        <f>M88+M93+M98+M107</f>
        <v>57143938.380000651</v>
      </c>
    </row>
    <row r="110" spans="1:13" s="81" customFormat="1" ht="15.75" thickTop="1">
      <c r="A110" s="258"/>
      <c r="B110" s="267"/>
      <c r="C110" s="268"/>
      <c r="D110" s="268"/>
      <c r="E110" s="269"/>
      <c r="F110" s="270"/>
      <c r="G110" s="271"/>
      <c r="H110" s="272"/>
      <c r="I110" s="272"/>
      <c r="J110" s="273"/>
      <c r="K110" s="274"/>
      <c r="L110" s="265"/>
      <c r="M110" s="302"/>
    </row>
    <row r="111" spans="1:13" s="79" customFormat="1">
      <c r="A111" s="209"/>
      <c r="B111" s="215" t="s">
        <v>2922</v>
      </c>
      <c r="C111" s="630" t="s">
        <v>2923</v>
      </c>
      <c r="D111" s="630"/>
      <c r="E111" s="630"/>
      <c r="F111" s="630"/>
      <c r="G111" s="631"/>
      <c r="H111" s="217"/>
      <c r="I111" s="217"/>
      <c r="J111" s="218"/>
      <c r="K111" s="219"/>
      <c r="L111" s="214"/>
      <c r="M111" s="297"/>
    </row>
    <row r="112" spans="1:13" s="79" customFormat="1">
      <c r="A112" s="209"/>
      <c r="B112" s="240"/>
      <c r="C112" s="216" t="s">
        <v>2849</v>
      </c>
      <c r="D112" s="628" t="s">
        <v>1841</v>
      </c>
      <c r="E112" s="628"/>
      <c r="F112" s="628"/>
      <c r="G112" s="629"/>
      <c r="H112" s="217">
        <f>SUM(H113:H116)</f>
        <v>40469000</v>
      </c>
      <c r="I112" s="217">
        <f>SUM(I113:I116)</f>
        <v>40354000</v>
      </c>
      <c r="J112" s="218">
        <f t="shared" ref="J112:J119" si="6">H112-I112</f>
        <v>115000</v>
      </c>
      <c r="K112" s="219">
        <f t="shared" ref="K112:K119" si="7">IF(I112=0,"-    ",J112/I112)</f>
        <v>2.8497794518511175E-3</v>
      </c>
      <c r="L112" s="214"/>
      <c r="M112" s="297">
        <f>SUM(M113:M116)</f>
        <v>39522914.770000003</v>
      </c>
    </row>
    <row r="113" spans="1:13" s="55" customFormat="1">
      <c r="A113" s="209" t="s">
        <v>2924</v>
      </c>
      <c r="B113" s="257"/>
      <c r="C113" s="250"/>
      <c r="D113" s="254"/>
      <c r="E113" s="222" t="s">
        <v>2851</v>
      </c>
      <c r="F113" s="625" t="s">
        <v>2521</v>
      </c>
      <c r="G113" s="626"/>
      <c r="H113" s="225">
        <f>SUMIF('pdc2019'!$J$8:$J$1169,'CE statale'!$A113,'pdc2019'!$Q$8:$Q$1169)</f>
        <v>40115000</v>
      </c>
      <c r="I113" s="225">
        <f>SUMIF('pdc2019'!$J$8:$J$1169,'CE statale'!$A113,'pdc2019'!$P$8:$P$1169)</f>
        <v>40000000</v>
      </c>
      <c r="J113" s="226">
        <f t="shared" si="6"/>
        <v>115000</v>
      </c>
      <c r="K113" s="227">
        <f t="shared" si="7"/>
        <v>2.875E-3</v>
      </c>
      <c r="L113" s="209"/>
      <c r="M113" s="298">
        <f>SUMIF('pdc2019'!$J$8:$J$1169,'CE statale'!$A113,'pdc2019'!$N$8:$N$1169)</f>
        <v>39178373.280000001</v>
      </c>
    </row>
    <row r="114" spans="1:13" s="55" customFormat="1">
      <c r="A114" s="209" t="s">
        <v>2925</v>
      </c>
      <c r="B114" s="257"/>
      <c r="C114" s="250"/>
      <c r="D114" s="254"/>
      <c r="E114" s="222" t="s">
        <v>2853</v>
      </c>
      <c r="F114" s="625" t="s">
        <v>2524</v>
      </c>
      <c r="G114" s="626"/>
      <c r="H114" s="225">
        <f>SUMIF('pdc2019'!$J$8:$J$1169,'CE statale'!$A114,'pdc2019'!$Q$8:$Q$1169)</f>
        <v>202000</v>
      </c>
      <c r="I114" s="225">
        <f>SUMIF('pdc2019'!$J$8:$J$1169,'CE statale'!$A114,'pdc2019'!$P$8:$P$1169)</f>
        <v>202000</v>
      </c>
      <c r="J114" s="226">
        <f t="shared" si="6"/>
        <v>0</v>
      </c>
      <c r="K114" s="227">
        <f t="shared" si="7"/>
        <v>0</v>
      </c>
      <c r="L114" s="209"/>
      <c r="M114" s="298">
        <f>SUMIF('pdc2019'!$J$8:$J$1169,'CE statale'!$A114,'pdc2019'!$N$8:$N$1169)</f>
        <v>193752.25</v>
      </c>
    </row>
    <row r="115" spans="1:13" s="55" customFormat="1">
      <c r="A115" s="209" t="s">
        <v>2926</v>
      </c>
      <c r="B115" s="257"/>
      <c r="C115" s="250"/>
      <c r="D115" s="254"/>
      <c r="E115" s="222" t="s">
        <v>3542</v>
      </c>
      <c r="F115" s="625" t="s">
        <v>1864</v>
      </c>
      <c r="G115" s="626"/>
      <c r="H115" s="225">
        <f>SUMIF('pdc2019'!$J$8:$J$1169,'CE statale'!$A115,'pdc2019'!$Q$8:$Q$1169)</f>
        <v>152000</v>
      </c>
      <c r="I115" s="225">
        <f>SUMIF('pdc2019'!$J$8:$J$1169,'CE statale'!$A115,'pdc2019'!$P$8:$P$1169)</f>
        <v>152000</v>
      </c>
      <c r="J115" s="226">
        <f t="shared" si="6"/>
        <v>0</v>
      </c>
      <c r="K115" s="227">
        <f t="shared" si="7"/>
        <v>0</v>
      </c>
      <c r="L115" s="209"/>
      <c r="M115" s="298">
        <f>SUMIF('pdc2019'!$J$8:$J$1169,'CE statale'!$A115,'pdc2019'!$N$8:$N$1169)</f>
        <v>150789.24</v>
      </c>
    </row>
    <row r="116" spans="1:13" s="55" customFormat="1">
      <c r="A116" s="209" t="s">
        <v>2927</v>
      </c>
      <c r="B116" s="257"/>
      <c r="C116" s="250"/>
      <c r="D116" s="254"/>
      <c r="E116" s="222" t="s">
        <v>3550</v>
      </c>
      <c r="F116" s="625" t="s">
        <v>2528</v>
      </c>
      <c r="G116" s="626"/>
      <c r="H116" s="225">
        <f>SUMIF('pdc2019'!$J$8:$J$1169,'CE statale'!$A116,'pdc2019'!$Q$8:$Q$1169)</f>
        <v>0</v>
      </c>
      <c r="I116" s="225">
        <f>SUMIF('pdc2019'!$J$8:$J$1169,'CE statale'!$A116,'pdc2019'!$P$8:$P$1169)</f>
        <v>0</v>
      </c>
      <c r="J116" s="226">
        <f t="shared" si="6"/>
        <v>0</v>
      </c>
      <c r="K116" s="227" t="str">
        <f t="shared" si="7"/>
        <v xml:space="preserve">-    </v>
      </c>
      <c r="L116" s="209"/>
      <c r="M116" s="298">
        <f>SUMIF('pdc2019'!$J$8:$J$1169,'CE statale'!$A116,'pdc2019'!$N$8:$N$1169)</f>
        <v>0</v>
      </c>
    </row>
    <row r="117" spans="1:13" s="79" customFormat="1">
      <c r="A117" s="209" t="s">
        <v>2928</v>
      </c>
      <c r="B117" s="240"/>
      <c r="C117" s="216" t="s">
        <v>2858</v>
      </c>
      <c r="D117" s="628" t="s">
        <v>1827</v>
      </c>
      <c r="E117" s="628"/>
      <c r="F117" s="628"/>
      <c r="G117" s="629"/>
      <c r="H117" s="217">
        <f>SUMIF('pdc2019'!$J$8:$J$1169,'CE statale'!$A117,'pdc2019'!$Q$8:$Q$1169)</f>
        <v>0</v>
      </c>
      <c r="I117" s="217">
        <f>SUMIF('pdc2019'!$J$8:$J$1169,'CE statale'!$A117,'pdc2019'!$P$8:$P$1169)</f>
        <v>0</v>
      </c>
      <c r="J117" s="218">
        <f t="shared" si="6"/>
        <v>0</v>
      </c>
      <c r="K117" s="219" t="str">
        <f t="shared" si="7"/>
        <v xml:space="preserve">-    </v>
      </c>
      <c r="L117" s="214"/>
      <c r="M117" s="297">
        <f>SUMIF('pdc2019'!$J$8:$J$1169,'CE statale'!$A117,'pdc2019'!$N$8:$N$1169)</f>
        <v>0</v>
      </c>
    </row>
    <row r="118" spans="1:13" s="79" customFormat="1">
      <c r="A118" s="209" t="s">
        <v>1072</v>
      </c>
      <c r="B118" s="240"/>
      <c r="C118" s="216" t="s">
        <v>2861</v>
      </c>
      <c r="D118" s="628" t="s">
        <v>2929</v>
      </c>
      <c r="E118" s="628"/>
      <c r="F118" s="628"/>
      <c r="G118" s="629"/>
      <c r="H118" s="217">
        <f>SUMIF('pdc2019'!$J$8:$J$1169,'CE statale'!$A118,'pdc2019'!$Q$8:$Q$1169)</f>
        <v>0</v>
      </c>
      <c r="I118" s="217">
        <f>SUMIF('pdc2019'!$J$8:$J$1169,'CE statale'!$A118,'pdc2019'!$P$8:$P$1169)</f>
        <v>0</v>
      </c>
      <c r="J118" s="218">
        <f t="shared" si="6"/>
        <v>0</v>
      </c>
      <c r="K118" s="219" t="str">
        <f t="shared" si="7"/>
        <v xml:space="preserve">-    </v>
      </c>
      <c r="L118" s="214"/>
      <c r="M118" s="297">
        <f>SUMIF('pdc2019'!$J$8:$J$1169,'CE statale'!$A118,'pdc2019'!$N$8:$N$1169)</f>
        <v>0</v>
      </c>
    </row>
    <row r="119" spans="1:13" s="79" customFormat="1">
      <c r="A119" s="209"/>
      <c r="B119" s="241"/>
      <c r="C119" s="242" t="s">
        <v>2930</v>
      </c>
      <c r="D119" s="242"/>
      <c r="E119" s="242"/>
      <c r="F119" s="242"/>
      <c r="G119" s="243"/>
      <c r="H119" s="244">
        <f>H112+H117+H118</f>
        <v>40469000</v>
      </c>
      <c r="I119" s="244">
        <f>I112+I117+I118</f>
        <v>40354000</v>
      </c>
      <c r="J119" s="245">
        <f t="shared" si="6"/>
        <v>115000</v>
      </c>
      <c r="K119" s="246">
        <f t="shared" si="7"/>
        <v>2.8497794518511175E-3</v>
      </c>
      <c r="L119" s="214"/>
      <c r="M119" s="300">
        <f>M112+M117+M118</f>
        <v>39522914.770000003</v>
      </c>
    </row>
    <row r="120" spans="1:13" s="55" customFormat="1">
      <c r="A120" s="209"/>
      <c r="B120" s="257"/>
      <c r="C120" s="222"/>
      <c r="D120" s="254"/>
      <c r="E120" s="251"/>
      <c r="F120" s="254"/>
      <c r="G120" s="255"/>
      <c r="H120" s="225"/>
      <c r="I120" s="225"/>
      <c r="J120" s="226"/>
      <c r="K120" s="227"/>
      <c r="L120" s="209"/>
      <c r="M120" s="298"/>
    </row>
    <row r="121" spans="1:13" s="81" customFormat="1" ht="15.75" thickBot="1">
      <c r="A121" s="258"/>
      <c r="B121" s="276" t="s">
        <v>1491</v>
      </c>
      <c r="C121" s="277"/>
      <c r="D121" s="278"/>
      <c r="E121" s="277"/>
      <c r="F121" s="279"/>
      <c r="G121" s="280"/>
      <c r="H121" s="281">
        <f>H109-H119</f>
        <v>0</v>
      </c>
      <c r="I121" s="281">
        <f>I109-I119</f>
        <v>21691560.440000072</v>
      </c>
      <c r="J121" s="282">
        <f>H121-I121</f>
        <v>-21691560.440000072</v>
      </c>
      <c r="K121" s="283">
        <f>IF(I121=0,"-    ",J121/I121)</f>
        <v>-1</v>
      </c>
      <c r="L121" s="265"/>
      <c r="M121" s="303">
        <f>M109-M119</f>
        <v>17621023.610000648</v>
      </c>
    </row>
    <row r="122" spans="1:13" s="55" customFormat="1">
      <c r="B122" s="82"/>
      <c r="C122" s="82"/>
      <c r="D122" s="83"/>
      <c r="E122" s="83"/>
      <c r="F122" s="84"/>
      <c r="G122" s="84"/>
      <c r="H122" s="85"/>
      <c r="I122" s="85"/>
      <c r="J122" s="86"/>
      <c r="K122" s="87"/>
      <c r="M122" s="85"/>
    </row>
    <row r="123" spans="1:13">
      <c r="B123" s="88"/>
      <c r="C123" s="88"/>
      <c r="D123" s="54"/>
      <c r="E123" s="54"/>
      <c r="F123" s="54"/>
      <c r="G123" s="54"/>
      <c r="H123" s="52"/>
      <c r="I123" s="89"/>
      <c r="M123" s="89"/>
    </row>
    <row r="124" spans="1:13">
      <c r="B124" s="90"/>
      <c r="C124" s="90"/>
      <c r="D124" s="91"/>
      <c r="E124" s="91"/>
      <c r="F124" s="91"/>
      <c r="G124" s="92"/>
      <c r="H124" s="89"/>
      <c r="I124" s="89"/>
      <c r="M124" s="89"/>
    </row>
    <row r="125" spans="1:13">
      <c r="B125" s="90"/>
      <c r="C125" s="90"/>
      <c r="D125" s="91"/>
      <c r="E125" s="91"/>
      <c r="F125" s="91"/>
      <c r="G125" s="92"/>
      <c r="H125" s="89"/>
      <c r="I125" s="89"/>
      <c r="M125" s="89"/>
    </row>
    <row r="126" spans="1:13">
      <c r="B126" s="90"/>
      <c r="C126" s="90"/>
      <c r="D126" s="91"/>
      <c r="E126" s="91"/>
      <c r="F126" s="91"/>
      <c r="G126" s="92"/>
      <c r="H126" s="89"/>
      <c r="I126" s="89"/>
      <c r="M126" s="89"/>
    </row>
    <row r="127" spans="1:13">
      <c r="B127" s="90"/>
      <c r="C127" s="90"/>
      <c r="D127" s="91"/>
      <c r="E127" s="91"/>
      <c r="F127" s="91"/>
      <c r="G127" s="92"/>
      <c r="H127" s="89"/>
      <c r="I127" s="89"/>
      <c r="M127" s="89"/>
    </row>
    <row r="128" spans="1:13">
      <c r="B128" s="90"/>
      <c r="C128" s="90"/>
      <c r="D128" s="91"/>
      <c r="E128" s="91"/>
      <c r="F128" s="91"/>
      <c r="G128" s="92"/>
      <c r="H128" s="89"/>
      <c r="I128" s="89"/>
      <c r="M128" s="89"/>
    </row>
    <row r="129" spans="2:13">
      <c r="B129" s="90"/>
      <c r="C129" s="90"/>
      <c r="D129" s="91"/>
      <c r="E129" s="91"/>
      <c r="F129" s="91"/>
      <c r="G129" s="92"/>
      <c r="H129" s="89"/>
      <c r="I129" s="89"/>
      <c r="M129" s="89"/>
    </row>
    <row r="130" spans="2:13">
      <c r="B130" s="90"/>
      <c r="C130" s="90"/>
      <c r="D130" s="91"/>
      <c r="E130" s="91"/>
      <c r="F130" s="91"/>
      <c r="G130" s="92"/>
      <c r="H130" s="89"/>
      <c r="I130" s="89"/>
      <c r="M130" s="89"/>
    </row>
    <row r="131" spans="2:13">
      <c r="B131" s="90"/>
      <c r="C131" s="90"/>
      <c r="D131" s="91"/>
      <c r="E131" s="91"/>
      <c r="F131" s="91"/>
      <c r="G131" s="92"/>
      <c r="H131" s="89"/>
      <c r="I131" s="89"/>
      <c r="M131" s="89"/>
    </row>
    <row r="132" spans="2:13">
      <c r="B132" s="90"/>
      <c r="C132" s="90"/>
      <c r="D132" s="91"/>
      <c r="E132" s="91"/>
      <c r="F132" s="91"/>
      <c r="G132" s="92"/>
      <c r="H132" s="89"/>
      <c r="I132" s="89"/>
      <c r="M132" s="89"/>
    </row>
    <row r="133" spans="2:13">
      <c r="B133" s="90"/>
      <c r="C133" s="90"/>
      <c r="D133" s="91"/>
      <c r="E133" s="91"/>
      <c r="F133" s="91"/>
      <c r="G133" s="92"/>
      <c r="H133" s="89"/>
      <c r="I133" s="89"/>
      <c r="M133" s="89"/>
    </row>
    <row r="134" spans="2:13">
      <c r="B134" s="90"/>
      <c r="C134" s="90"/>
      <c r="D134" s="91"/>
      <c r="E134" s="91"/>
      <c r="F134" s="91"/>
      <c r="G134" s="92"/>
      <c r="H134" s="89"/>
      <c r="I134" s="89"/>
      <c r="M134" s="89"/>
    </row>
    <row r="135" spans="2:13">
      <c r="B135" s="90"/>
      <c r="C135" s="90"/>
      <c r="D135" s="91"/>
      <c r="E135" s="91"/>
      <c r="F135" s="91"/>
      <c r="G135" s="92"/>
    </row>
    <row r="136" spans="2:13">
      <c r="B136" s="90"/>
      <c r="C136" s="90"/>
      <c r="D136" s="91"/>
      <c r="E136" s="91"/>
      <c r="F136" s="91"/>
      <c r="G136" s="92"/>
    </row>
    <row r="137" spans="2:13">
      <c r="B137" s="90"/>
      <c r="C137" s="90"/>
      <c r="D137" s="91"/>
      <c r="E137" s="91"/>
      <c r="F137" s="91"/>
      <c r="G137" s="92"/>
    </row>
    <row r="138" spans="2:13">
      <c r="B138" s="90"/>
      <c r="C138" s="90"/>
      <c r="D138" s="91"/>
      <c r="E138" s="91"/>
      <c r="F138" s="91"/>
      <c r="G138" s="92"/>
    </row>
    <row r="139" spans="2:13">
      <c r="B139" s="90"/>
      <c r="C139" s="90"/>
      <c r="D139" s="91"/>
      <c r="E139" s="91"/>
      <c r="F139" s="91"/>
      <c r="G139" s="92"/>
    </row>
    <row r="140" spans="2:13">
      <c r="B140" s="90"/>
      <c r="C140" s="90"/>
      <c r="D140" s="91"/>
      <c r="E140" s="91"/>
      <c r="F140" s="91"/>
      <c r="G140" s="92"/>
    </row>
    <row r="141" spans="2:13">
      <c r="B141" s="90"/>
      <c r="C141" s="90"/>
      <c r="D141" s="91"/>
      <c r="E141" s="91"/>
      <c r="F141" s="91"/>
      <c r="G141" s="92"/>
    </row>
    <row r="142" spans="2:13">
      <c r="B142" s="90"/>
      <c r="C142" s="90"/>
      <c r="D142" s="91"/>
      <c r="E142" s="91"/>
      <c r="F142" s="91"/>
      <c r="G142" s="92"/>
    </row>
    <row r="143" spans="2:13" s="93" customFormat="1">
      <c r="B143" s="90"/>
      <c r="C143" s="90"/>
      <c r="D143" s="91"/>
      <c r="E143" s="91"/>
      <c r="F143" s="91"/>
      <c r="G143" s="92"/>
      <c r="H143" s="64"/>
      <c r="I143" s="64"/>
      <c r="J143" s="64"/>
      <c r="K143" s="64"/>
      <c r="L143" s="64"/>
      <c r="M143" s="64"/>
    </row>
    <row r="144" spans="2:13" s="93" customFormat="1">
      <c r="B144" s="90"/>
      <c r="C144" s="90"/>
      <c r="D144" s="91"/>
      <c r="E144" s="91"/>
      <c r="F144" s="91"/>
      <c r="G144" s="92"/>
      <c r="H144" s="64"/>
      <c r="I144" s="64"/>
      <c r="J144" s="64"/>
      <c r="K144" s="64"/>
      <c r="L144" s="64"/>
      <c r="M144" s="64"/>
    </row>
    <row r="145" spans="2:13" s="93" customFormat="1">
      <c r="B145" s="90"/>
      <c r="C145" s="90"/>
      <c r="D145" s="91"/>
      <c r="E145" s="91"/>
      <c r="F145" s="91"/>
      <c r="G145" s="92"/>
      <c r="H145" s="64"/>
      <c r="I145" s="64"/>
      <c r="J145" s="64"/>
      <c r="K145" s="64"/>
      <c r="L145" s="64"/>
      <c r="M145" s="64"/>
    </row>
    <row r="146" spans="2:13" s="93" customFormat="1">
      <c r="B146" s="90"/>
      <c r="C146" s="90"/>
      <c r="D146" s="91"/>
      <c r="E146" s="91"/>
      <c r="F146" s="91"/>
      <c r="G146" s="92"/>
      <c r="H146" s="64"/>
      <c r="I146" s="64"/>
      <c r="J146" s="64"/>
      <c r="K146" s="64"/>
      <c r="L146" s="64"/>
      <c r="M146" s="64"/>
    </row>
    <row r="147" spans="2:13" s="93" customFormat="1">
      <c r="B147" s="90"/>
      <c r="C147" s="90"/>
      <c r="D147" s="91"/>
      <c r="E147" s="91"/>
      <c r="F147" s="91"/>
      <c r="G147" s="92"/>
      <c r="H147" s="64"/>
      <c r="I147" s="64"/>
      <c r="J147" s="64"/>
      <c r="K147" s="64"/>
      <c r="L147" s="64"/>
      <c r="M147" s="64"/>
    </row>
    <row r="148" spans="2:13" s="93" customFormat="1">
      <c r="B148" s="90"/>
      <c r="C148" s="90"/>
      <c r="D148" s="91"/>
      <c r="E148" s="91"/>
      <c r="F148" s="91"/>
      <c r="G148" s="92"/>
      <c r="H148" s="64"/>
      <c r="I148" s="64"/>
      <c r="J148" s="64"/>
      <c r="K148" s="64"/>
      <c r="L148" s="64"/>
      <c r="M148" s="64"/>
    </row>
    <row r="149" spans="2:13" s="93" customFormat="1">
      <c r="B149" s="90"/>
      <c r="C149" s="90"/>
      <c r="D149" s="91"/>
      <c r="E149" s="91"/>
      <c r="F149" s="91"/>
      <c r="G149" s="92"/>
      <c r="H149" s="64"/>
      <c r="I149" s="64"/>
      <c r="J149" s="64"/>
      <c r="K149" s="64"/>
      <c r="L149" s="64"/>
      <c r="M149" s="64"/>
    </row>
    <row r="150" spans="2:13" s="93" customFormat="1">
      <c r="B150" s="90"/>
      <c r="C150" s="90"/>
      <c r="D150" s="91"/>
      <c r="E150" s="91"/>
      <c r="F150" s="91"/>
      <c r="G150" s="92"/>
      <c r="H150" s="64"/>
      <c r="I150" s="64"/>
      <c r="J150" s="64"/>
      <c r="K150" s="64"/>
      <c r="L150" s="64"/>
      <c r="M150" s="64"/>
    </row>
    <row r="151" spans="2:13" s="93" customFormat="1">
      <c r="B151" s="90"/>
      <c r="C151" s="90"/>
      <c r="D151" s="91"/>
      <c r="E151" s="91"/>
      <c r="F151" s="91"/>
      <c r="G151" s="92"/>
      <c r="H151" s="64"/>
      <c r="I151" s="64"/>
      <c r="J151" s="64"/>
      <c r="K151" s="64"/>
      <c r="L151" s="64"/>
      <c r="M151" s="64"/>
    </row>
    <row r="152" spans="2:13" s="93" customFormat="1">
      <c r="B152" s="90"/>
      <c r="C152" s="90"/>
      <c r="D152" s="91"/>
      <c r="E152" s="91"/>
      <c r="F152" s="91"/>
      <c r="G152" s="92"/>
      <c r="H152" s="64"/>
      <c r="I152" s="64"/>
      <c r="J152" s="64"/>
      <c r="K152" s="64"/>
      <c r="L152" s="64"/>
      <c r="M152" s="64"/>
    </row>
    <row r="153" spans="2:13" s="93" customFormat="1">
      <c r="B153" s="90"/>
      <c r="C153" s="90"/>
      <c r="D153" s="91"/>
      <c r="E153" s="91"/>
      <c r="F153" s="91"/>
      <c r="G153" s="92"/>
      <c r="H153" s="64"/>
      <c r="I153" s="64"/>
      <c r="J153" s="64"/>
      <c r="K153" s="64"/>
      <c r="L153" s="64"/>
      <c r="M153" s="64"/>
    </row>
    <row r="154" spans="2:13" s="93" customFormat="1">
      <c r="B154" s="90"/>
      <c r="C154" s="90"/>
      <c r="D154" s="91"/>
      <c r="E154" s="91"/>
      <c r="F154" s="91"/>
      <c r="G154" s="92"/>
      <c r="H154" s="64"/>
      <c r="I154" s="64"/>
      <c r="J154" s="64"/>
      <c r="K154" s="64"/>
      <c r="L154" s="64"/>
      <c r="M154" s="64"/>
    </row>
    <row r="155" spans="2:13" s="93" customFormat="1">
      <c r="B155" s="90"/>
      <c r="C155" s="90"/>
      <c r="D155" s="91"/>
      <c r="E155" s="91"/>
      <c r="F155" s="91"/>
      <c r="G155" s="92"/>
      <c r="H155" s="64"/>
      <c r="I155" s="64"/>
      <c r="J155" s="64"/>
      <c r="K155" s="64"/>
      <c r="L155" s="64"/>
      <c r="M155" s="64"/>
    </row>
    <row r="156" spans="2:13" s="93" customFormat="1">
      <c r="B156" s="90"/>
      <c r="C156" s="90"/>
      <c r="D156" s="91"/>
      <c r="E156" s="91"/>
      <c r="F156" s="91"/>
      <c r="G156" s="92"/>
      <c r="H156" s="64"/>
      <c r="I156" s="64"/>
      <c r="J156" s="64"/>
      <c r="K156" s="64"/>
      <c r="L156" s="64"/>
      <c r="M156" s="64"/>
    </row>
    <row r="157" spans="2:13" s="93" customFormat="1">
      <c r="B157" s="90"/>
      <c r="C157" s="90"/>
      <c r="D157" s="91"/>
      <c r="E157" s="91"/>
      <c r="F157" s="91"/>
      <c r="G157" s="92"/>
      <c r="H157" s="64"/>
      <c r="I157" s="64"/>
      <c r="J157" s="64"/>
      <c r="K157" s="64"/>
      <c r="L157" s="64"/>
      <c r="M157" s="64"/>
    </row>
    <row r="158" spans="2:13" s="93" customFormat="1">
      <c r="B158" s="90"/>
      <c r="C158" s="90"/>
      <c r="D158" s="91"/>
      <c r="E158" s="91"/>
      <c r="F158" s="91"/>
      <c r="G158" s="92"/>
      <c r="H158" s="64"/>
      <c r="I158" s="64"/>
      <c r="J158" s="64"/>
      <c r="K158" s="64"/>
      <c r="L158" s="64"/>
      <c r="M158" s="64"/>
    </row>
    <row r="159" spans="2:13" s="93" customFormat="1">
      <c r="B159" s="90"/>
      <c r="C159" s="90"/>
      <c r="D159" s="91"/>
      <c r="E159" s="91"/>
      <c r="F159" s="91"/>
      <c r="G159" s="92"/>
      <c r="H159" s="64"/>
      <c r="I159" s="64"/>
      <c r="J159" s="64"/>
      <c r="K159" s="64"/>
      <c r="L159" s="64"/>
      <c r="M159" s="64"/>
    </row>
    <row r="160" spans="2:13" s="93" customFormat="1">
      <c r="B160" s="90"/>
      <c r="C160" s="90"/>
      <c r="D160" s="91"/>
      <c r="E160" s="91"/>
      <c r="F160" s="91"/>
      <c r="G160" s="92"/>
      <c r="H160" s="64"/>
      <c r="I160" s="64"/>
      <c r="J160" s="64"/>
      <c r="K160" s="64"/>
      <c r="L160" s="64"/>
      <c r="M160" s="64"/>
    </row>
    <row r="161" spans="2:13" s="93" customFormat="1">
      <c r="B161" s="90"/>
      <c r="C161" s="90"/>
      <c r="D161" s="91"/>
      <c r="E161" s="91"/>
      <c r="F161" s="91"/>
      <c r="G161" s="92"/>
      <c r="H161" s="64"/>
      <c r="I161" s="64"/>
      <c r="J161" s="64"/>
      <c r="K161" s="64"/>
      <c r="L161" s="64"/>
      <c r="M161" s="64"/>
    </row>
    <row r="162" spans="2:13" s="93" customFormat="1">
      <c r="B162" s="90"/>
      <c r="C162" s="90"/>
      <c r="D162" s="91"/>
      <c r="E162" s="91"/>
      <c r="F162" s="91"/>
      <c r="G162" s="92"/>
      <c r="H162" s="64"/>
      <c r="I162" s="64"/>
      <c r="J162" s="64"/>
      <c r="K162" s="64"/>
      <c r="L162" s="64"/>
      <c r="M162" s="64"/>
    </row>
    <row r="163" spans="2:13" s="93" customFormat="1">
      <c r="B163" s="90"/>
      <c r="C163" s="90"/>
      <c r="D163" s="91"/>
      <c r="E163" s="91"/>
      <c r="F163" s="91"/>
      <c r="G163" s="92"/>
      <c r="H163" s="64"/>
      <c r="I163" s="64"/>
      <c r="J163" s="64"/>
      <c r="K163" s="64"/>
      <c r="L163" s="64"/>
      <c r="M163" s="64"/>
    </row>
    <row r="164" spans="2:13" s="93" customFormat="1">
      <c r="B164" s="90"/>
      <c r="C164" s="90"/>
      <c r="D164" s="91"/>
      <c r="E164" s="91"/>
      <c r="F164" s="91"/>
      <c r="G164" s="92"/>
      <c r="H164" s="64"/>
      <c r="I164" s="64"/>
      <c r="J164" s="64"/>
      <c r="K164" s="64"/>
      <c r="L164" s="64"/>
      <c r="M164" s="64"/>
    </row>
    <row r="165" spans="2:13" s="93" customFormat="1">
      <c r="B165" s="90"/>
      <c r="C165" s="90"/>
      <c r="D165" s="91"/>
      <c r="E165" s="91"/>
      <c r="F165" s="91"/>
      <c r="G165" s="92"/>
      <c r="H165" s="64"/>
      <c r="I165" s="64"/>
      <c r="J165" s="64"/>
      <c r="K165" s="64"/>
      <c r="L165" s="64"/>
      <c r="M165" s="64"/>
    </row>
    <row r="166" spans="2:13" s="93" customFormat="1">
      <c r="B166" s="90"/>
      <c r="C166" s="90"/>
      <c r="D166" s="91"/>
      <c r="E166" s="91"/>
      <c r="F166" s="91"/>
      <c r="G166" s="92"/>
      <c r="H166" s="64"/>
      <c r="I166" s="64"/>
      <c r="J166" s="64"/>
      <c r="K166" s="64"/>
      <c r="L166" s="64"/>
      <c r="M166" s="64"/>
    </row>
    <row r="167" spans="2:13" s="93" customFormat="1">
      <c r="B167" s="90"/>
      <c r="C167" s="90"/>
      <c r="D167" s="91"/>
      <c r="E167" s="91"/>
      <c r="F167" s="91"/>
      <c r="G167" s="92"/>
      <c r="H167" s="64"/>
      <c r="I167" s="64"/>
      <c r="J167" s="64"/>
      <c r="K167" s="64"/>
      <c r="L167" s="64"/>
      <c r="M167" s="64"/>
    </row>
    <row r="168" spans="2:13" s="93" customFormat="1">
      <c r="B168" s="94"/>
      <c r="C168" s="94"/>
      <c r="G168" s="64"/>
      <c r="H168" s="64"/>
      <c r="I168" s="64"/>
      <c r="J168" s="64"/>
      <c r="K168" s="64"/>
      <c r="L168" s="64"/>
      <c r="M168" s="64"/>
    </row>
    <row r="169" spans="2:13" s="93" customFormat="1">
      <c r="B169" s="94"/>
      <c r="C169" s="94"/>
      <c r="G169" s="64"/>
      <c r="H169" s="64"/>
      <c r="I169" s="64"/>
      <c r="J169" s="64"/>
      <c r="K169" s="64"/>
      <c r="L169" s="64"/>
      <c r="M169" s="64"/>
    </row>
    <row r="170" spans="2:13" s="93" customFormat="1">
      <c r="B170" s="94"/>
      <c r="C170" s="94"/>
      <c r="G170" s="64"/>
      <c r="H170" s="64"/>
      <c r="I170" s="64"/>
      <c r="J170" s="64"/>
      <c r="K170" s="64"/>
      <c r="L170" s="64"/>
      <c r="M170" s="64"/>
    </row>
    <row r="171" spans="2:13" s="93" customFormat="1">
      <c r="B171" s="94"/>
      <c r="C171" s="94"/>
      <c r="G171" s="64"/>
      <c r="H171" s="64"/>
      <c r="I171" s="64"/>
      <c r="J171" s="64"/>
      <c r="K171" s="64"/>
      <c r="L171" s="64"/>
      <c r="M171" s="64"/>
    </row>
    <row r="172" spans="2:13" s="93" customFormat="1">
      <c r="B172" s="94"/>
      <c r="C172" s="94"/>
      <c r="G172" s="64"/>
      <c r="H172" s="64"/>
      <c r="I172" s="64"/>
      <c r="J172" s="64"/>
      <c r="K172" s="64"/>
      <c r="L172" s="64"/>
      <c r="M172" s="64"/>
    </row>
    <row r="173" spans="2:13" s="93" customFormat="1">
      <c r="B173" s="94"/>
      <c r="C173" s="94"/>
      <c r="G173" s="64"/>
      <c r="H173" s="64"/>
      <c r="I173" s="64"/>
      <c r="J173" s="64"/>
      <c r="K173" s="64"/>
      <c r="L173" s="64"/>
      <c r="M173" s="64"/>
    </row>
    <row r="174" spans="2:13" s="93" customFormat="1">
      <c r="B174" s="94"/>
      <c r="C174" s="94"/>
      <c r="G174" s="64"/>
      <c r="H174" s="64"/>
      <c r="I174" s="64"/>
      <c r="J174" s="64"/>
      <c r="K174" s="64"/>
      <c r="L174" s="64"/>
      <c r="M174" s="64"/>
    </row>
    <row r="175" spans="2:13" s="93" customFormat="1">
      <c r="B175" s="94"/>
      <c r="C175" s="94"/>
      <c r="G175" s="64"/>
      <c r="H175" s="64"/>
      <c r="I175" s="64"/>
      <c r="J175" s="64"/>
      <c r="K175" s="64"/>
      <c r="L175" s="64"/>
      <c r="M175" s="64"/>
    </row>
    <row r="176" spans="2:13" s="93" customFormat="1">
      <c r="B176" s="94"/>
      <c r="C176" s="94"/>
      <c r="G176" s="64"/>
      <c r="H176" s="64"/>
      <c r="I176" s="64"/>
      <c r="J176" s="64"/>
      <c r="K176" s="64"/>
      <c r="L176" s="64"/>
      <c r="M176" s="64"/>
    </row>
    <row r="177" spans="2:13" s="93" customFormat="1">
      <c r="B177" s="94"/>
      <c r="C177" s="94"/>
      <c r="G177" s="64"/>
      <c r="H177" s="64"/>
      <c r="I177" s="64"/>
      <c r="J177" s="64"/>
      <c r="K177" s="64"/>
      <c r="L177" s="64"/>
      <c r="M177" s="64"/>
    </row>
    <row r="178" spans="2:13" s="93" customFormat="1">
      <c r="B178" s="94"/>
      <c r="C178" s="94"/>
      <c r="G178" s="64"/>
      <c r="H178" s="64"/>
      <c r="I178" s="64"/>
      <c r="J178" s="64"/>
      <c r="K178" s="64"/>
      <c r="L178" s="64"/>
      <c r="M178" s="64"/>
    </row>
    <row r="179" spans="2:13" s="93" customFormat="1">
      <c r="B179" s="94"/>
      <c r="C179" s="94"/>
      <c r="G179" s="64"/>
      <c r="H179" s="64"/>
      <c r="I179" s="64"/>
      <c r="J179" s="64"/>
      <c r="K179" s="64"/>
      <c r="L179" s="64"/>
      <c r="M179" s="64"/>
    </row>
    <row r="180" spans="2:13" s="93" customFormat="1">
      <c r="B180" s="94"/>
      <c r="C180" s="94"/>
      <c r="G180" s="64"/>
      <c r="H180" s="64"/>
      <c r="I180" s="64"/>
      <c r="J180" s="64"/>
      <c r="K180" s="64"/>
      <c r="L180" s="64"/>
      <c r="M180" s="64"/>
    </row>
    <row r="181" spans="2:13" s="93" customFormat="1">
      <c r="B181" s="94"/>
      <c r="C181" s="94"/>
      <c r="G181" s="64"/>
      <c r="H181" s="64"/>
      <c r="I181" s="64"/>
      <c r="J181" s="64"/>
      <c r="K181" s="64"/>
      <c r="L181" s="64"/>
      <c r="M181" s="64"/>
    </row>
    <row r="182" spans="2:13" s="93" customFormat="1">
      <c r="B182" s="94"/>
      <c r="C182" s="94"/>
      <c r="G182" s="64"/>
      <c r="H182" s="64"/>
      <c r="I182" s="64"/>
      <c r="J182" s="64"/>
      <c r="K182" s="64"/>
      <c r="L182" s="64"/>
      <c r="M182" s="64"/>
    </row>
    <row r="183" spans="2:13" s="93" customFormat="1">
      <c r="B183" s="94"/>
      <c r="C183" s="94"/>
      <c r="G183" s="64"/>
      <c r="H183" s="64"/>
      <c r="I183" s="64"/>
      <c r="J183" s="64"/>
      <c r="K183" s="64"/>
      <c r="L183" s="64"/>
      <c r="M183" s="64"/>
    </row>
    <row r="184" spans="2:13" s="93" customFormat="1">
      <c r="B184" s="94"/>
      <c r="C184" s="94"/>
      <c r="G184" s="64"/>
      <c r="H184" s="64"/>
      <c r="I184" s="64"/>
      <c r="J184" s="64"/>
      <c r="K184" s="64"/>
      <c r="L184" s="64"/>
      <c r="M184" s="64"/>
    </row>
    <row r="185" spans="2:13" s="93" customFormat="1">
      <c r="B185" s="94"/>
      <c r="C185" s="94"/>
      <c r="G185" s="64"/>
      <c r="H185" s="64"/>
      <c r="I185" s="64"/>
      <c r="J185" s="64"/>
      <c r="K185" s="64"/>
      <c r="L185" s="64"/>
      <c r="M185" s="64"/>
    </row>
    <row r="186" spans="2:13" s="93" customFormat="1">
      <c r="B186" s="94"/>
      <c r="C186" s="94"/>
      <c r="G186" s="64"/>
      <c r="H186" s="64"/>
      <c r="I186" s="64"/>
      <c r="J186" s="64"/>
      <c r="K186" s="64"/>
      <c r="L186" s="64"/>
      <c r="M186" s="64"/>
    </row>
    <row r="187" spans="2:13" s="93" customFormat="1">
      <c r="B187" s="94"/>
      <c r="C187" s="94"/>
      <c r="G187" s="64"/>
      <c r="H187" s="64"/>
      <c r="I187" s="64"/>
      <c r="J187" s="64"/>
      <c r="K187" s="64"/>
      <c r="L187" s="64"/>
      <c r="M187" s="64"/>
    </row>
    <row r="188" spans="2:13" s="93" customFormat="1">
      <c r="B188" s="94"/>
      <c r="C188" s="94"/>
      <c r="G188" s="64"/>
      <c r="H188" s="64"/>
      <c r="I188" s="64"/>
      <c r="J188" s="64"/>
      <c r="K188" s="64"/>
      <c r="L188" s="64"/>
      <c r="M188" s="64"/>
    </row>
    <row r="189" spans="2:13" s="93" customFormat="1">
      <c r="B189" s="94"/>
      <c r="C189" s="94"/>
      <c r="G189" s="64"/>
      <c r="H189" s="64"/>
      <c r="I189" s="64"/>
      <c r="J189" s="64"/>
      <c r="K189" s="64"/>
      <c r="L189" s="64"/>
      <c r="M189" s="64"/>
    </row>
    <row r="190" spans="2:13" s="93" customFormat="1">
      <c r="B190" s="94"/>
      <c r="C190" s="94"/>
      <c r="G190" s="64"/>
      <c r="H190" s="64"/>
      <c r="I190" s="64"/>
      <c r="J190" s="64"/>
      <c r="K190" s="64"/>
      <c r="L190" s="64"/>
      <c r="M190" s="64"/>
    </row>
    <row r="191" spans="2:13" s="93" customFormat="1">
      <c r="B191" s="94"/>
      <c r="C191" s="94"/>
      <c r="G191" s="64"/>
      <c r="H191" s="64"/>
      <c r="I191" s="64"/>
      <c r="J191" s="64"/>
      <c r="K191" s="64"/>
      <c r="L191" s="64"/>
      <c r="M191" s="64"/>
    </row>
    <row r="192" spans="2:13" s="93" customFormat="1">
      <c r="B192" s="94"/>
      <c r="C192" s="94"/>
      <c r="G192" s="64"/>
      <c r="H192" s="64"/>
      <c r="I192" s="64"/>
      <c r="J192" s="64"/>
      <c r="K192" s="64"/>
      <c r="L192" s="64"/>
      <c r="M192" s="64"/>
    </row>
    <row r="193" spans="2:13" s="93" customFormat="1">
      <c r="B193" s="94"/>
      <c r="C193" s="94"/>
      <c r="G193" s="64"/>
      <c r="H193" s="64"/>
      <c r="I193" s="64"/>
      <c r="J193" s="64"/>
      <c r="K193" s="64"/>
      <c r="L193" s="64"/>
      <c r="M193" s="64"/>
    </row>
    <row r="194" spans="2:13" s="93" customFormat="1">
      <c r="B194" s="94"/>
      <c r="C194" s="94"/>
      <c r="G194" s="64"/>
      <c r="H194" s="64"/>
      <c r="I194" s="64"/>
      <c r="J194" s="64"/>
      <c r="K194" s="64"/>
      <c r="L194" s="64"/>
      <c r="M194" s="64"/>
    </row>
    <row r="195" spans="2:13" s="93" customFormat="1">
      <c r="B195" s="94"/>
      <c r="C195" s="94"/>
      <c r="G195" s="64"/>
      <c r="H195" s="64"/>
      <c r="I195" s="64"/>
      <c r="J195" s="64"/>
      <c r="K195" s="64"/>
      <c r="L195" s="64"/>
      <c r="M195" s="64"/>
    </row>
    <row r="196" spans="2:13" s="93" customFormat="1">
      <c r="B196" s="94"/>
      <c r="C196" s="94"/>
      <c r="G196" s="64"/>
      <c r="H196" s="64"/>
      <c r="I196" s="64"/>
      <c r="J196" s="64"/>
      <c r="K196" s="64"/>
      <c r="L196" s="64"/>
      <c r="M196" s="64"/>
    </row>
    <row r="197" spans="2:13" s="93" customFormat="1">
      <c r="B197" s="94"/>
      <c r="G197" s="64"/>
      <c r="H197" s="64"/>
      <c r="I197" s="64"/>
      <c r="J197" s="64"/>
      <c r="K197" s="64"/>
      <c r="L197" s="64"/>
      <c r="M197" s="64"/>
    </row>
    <row r="198" spans="2:13" s="93" customFormat="1">
      <c r="B198" s="94"/>
      <c r="G198" s="64"/>
      <c r="H198" s="64"/>
      <c r="I198" s="64"/>
      <c r="J198" s="64"/>
      <c r="K198" s="64"/>
      <c r="L198" s="64"/>
      <c r="M198" s="64"/>
    </row>
    <row r="199" spans="2:13" s="93" customFormat="1">
      <c r="B199" s="94"/>
      <c r="G199" s="64"/>
      <c r="H199" s="64"/>
      <c r="I199" s="64"/>
      <c r="J199" s="64"/>
      <c r="K199" s="64"/>
      <c r="L199" s="64"/>
      <c r="M199" s="64"/>
    </row>
    <row r="200" spans="2:13" s="93" customFormat="1">
      <c r="B200" s="94"/>
      <c r="G200" s="64"/>
      <c r="H200" s="64"/>
      <c r="I200" s="64"/>
      <c r="J200" s="64"/>
      <c r="K200" s="64"/>
      <c r="L200" s="64"/>
      <c r="M200" s="64"/>
    </row>
    <row r="201" spans="2:13" s="93" customFormat="1">
      <c r="B201" s="94"/>
      <c r="G201" s="64"/>
      <c r="H201" s="64"/>
      <c r="I201" s="64"/>
      <c r="J201" s="64"/>
      <c r="K201" s="64"/>
      <c r="L201" s="64"/>
      <c r="M201" s="64"/>
    </row>
    <row r="202" spans="2:13" s="93" customFormat="1">
      <c r="B202" s="94"/>
      <c r="G202" s="64"/>
      <c r="H202" s="64"/>
      <c r="I202" s="64"/>
      <c r="J202" s="64"/>
      <c r="K202" s="64"/>
      <c r="L202" s="64"/>
      <c r="M202" s="64"/>
    </row>
    <row r="203" spans="2:13" s="93" customFormat="1">
      <c r="B203" s="94"/>
      <c r="G203" s="64"/>
      <c r="H203" s="64"/>
      <c r="I203" s="64"/>
      <c r="J203" s="64"/>
      <c r="K203" s="64"/>
      <c r="L203" s="64"/>
      <c r="M203" s="64"/>
    </row>
    <row r="204" spans="2:13" s="93" customFormat="1">
      <c r="B204" s="94"/>
      <c r="G204" s="64"/>
      <c r="H204" s="64"/>
      <c r="I204" s="64"/>
      <c r="J204" s="64"/>
      <c r="K204" s="64"/>
      <c r="L204" s="64"/>
      <c r="M204" s="64"/>
    </row>
    <row r="205" spans="2:13" s="93" customFormat="1">
      <c r="B205" s="94"/>
      <c r="G205" s="64"/>
      <c r="H205" s="64"/>
      <c r="I205" s="64"/>
      <c r="J205" s="64"/>
      <c r="K205" s="64"/>
      <c r="L205" s="64"/>
      <c r="M205" s="64"/>
    </row>
    <row r="206" spans="2:13" s="93" customFormat="1">
      <c r="B206" s="94"/>
      <c r="G206" s="64"/>
      <c r="H206" s="64"/>
      <c r="I206" s="64"/>
      <c r="J206" s="64"/>
      <c r="K206" s="64"/>
      <c r="L206" s="64"/>
      <c r="M206" s="64"/>
    </row>
    <row r="207" spans="2:13" s="93" customFormat="1">
      <c r="B207" s="94"/>
      <c r="G207" s="64"/>
      <c r="H207" s="64"/>
      <c r="I207" s="64"/>
      <c r="J207" s="64"/>
      <c r="K207" s="64"/>
      <c r="L207" s="64"/>
      <c r="M207" s="64"/>
    </row>
    <row r="208" spans="2:13" s="93" customFormat="1">
      <c r="B208" s="94"/>
      <c r="G208" s="64"/>
      <c r="H208" s="64"/>
      <c r="I208" s="64"/>
      <c r="J208" s="64"/>
      <c r="K208" s="64"/>
      <c r="L208" s="64"/>
      <c r="M208" s="64"/>
    </row>
    <row r="209" spans="2:13" s="93" customFormat="1">
      <c r="B209" s="94"/>
      <c r="G209" s="64"/>
      <c r="H209" s="64"/>
      <c r="I209" s="64"/>
      <c r="J209" s="64"/>
      <c r="K209" s="64"/>
      <c r="L209" s="64"/>
      <c r="M209" s="64"/>
    </row>
    <row r="210" spans="2:13" s="93" customFormat="1">
      <c r="B210" s="94"/>
      <c r="G210" s="64"/>
      <c r="H210" s="64"/>
      <c r="I210" s="64"/>
      <c r="J210" s="64"/>
      <c r="K210" s="64"/>
      <c r="L210" s="64"/>
      <c r="M210" s="64"/>
    </row>
    <row r="211" spans="2:13" s="93" customFormat="1">
      <c r="B211" s="94"/>
      <c r="G211" s="64"/>
      <c r="H211" s="64"/>
      <c r="I211" s="64"/>
      <c r="J211" s="64"/>
      <c r="K211" s="64"/>
      <c r="L211" s="64"/>
      <c r="M211" s="64"/>
    </row>
    <row r="212" spans="2:13" s="93" customFormat="1">
      <c r="B212" s="94"/>
      <c r="G212" s="64"/>
      <c r="H212" s="64"/>
      <c r="I212" s="64"/>
      <c r="J212" s="64"/>
      <c r="K212" s="64"/>
      <c r="L212" s="64"/>
      <c r="M212" s="64"/>
    </row>
    <row r="213" spans="2:13" s="93" customFormat="1">
      <c r="B213" s="94"/>
      <c r="G213" s="64"/>
      <c r="H213" s="64"/>
      <c r="I213" s="64"/>
      <c r="J213" s="64"/>
      <c r="K213" s="64"/>
      <c r="L213" s="64"/>
      <c r="M213" s="64"/>
    </row>
    <row r="214" spans="2:13" s="93" customFormat="1">
      <c r="B214" s="94"/>
      <c r="G214" s="64"/>
      <c r="H214" s="64"/>
      <c r="I214" s="64"/>
      <c r="J214" s="64"/>
      <c r="K214" s="64"/>
      <c r="L214" s="64"/>
      <c r="M214" s="64"/>
    </row>
    <row r="215" spans="2:13" s="93" customFormat="1">
      <c r="B215" s="94"/>
      <c r="G215" s="64"/>
      <c r="H215" s="64"/>
      <c r="I215" s="64"/>
      <c r="J215" s="64"/>
      <c r="K215" s="64"/>
      <c r="L215" s="64"/>
      <c r="M215" s="64"/>
    </row>
    <row r="216" spans="2:13" s="93" customFormat="1">
      <c r="B216" s="94"/>
      <c r="G216" s="64"/>
      <c r="H216" s="64"/>
      <c r="I216" s="64"/>
      <c r="J216" s="64"/>
      <c r="K216" s="64"/>
      <c r="L216" s="64"/>
      <c r="M216" s="64"/>
    </row>
    <row r="217" spans="2:13" s="93" customFormat="1">
      <c r="B217" s="94"/>
      <c r="G217" s="64"/>
      <c r="H217" s="64"/>
      <c r="I217" s="64"/>
      <c r="J217" s="64"/>
      <c r="K217" s="64"/>
      <c r="L217" s="64"/>
      <c r="M217" s="64"/>
    </row>
    <row r="218" spans="2:13" s="93" customFormat="1">
      <c r="B218" s="94"/>
      <c r="G218" s="64"/>
      <c r="H218" s="64"/>
      <c r="I218" s="64"/>
      <c r="J218" s="64"/>
      <c r="K218" s="64"/>
      <c r="L218" s="64"/>
      <c r="M218" s="64"/>
    </row>
    <row r="219" spans="2:13" s="93" customFormat="1">
      <c r="B219" s="94"/>
      <c r="G219" s="64"/>
      <c r="H219" s="64"/>
      <c r="I219" s="64"/>
      <c r="J219" s="64"/>
      <c r="K219" s="64"/>
      <c r="L219" s="64"/>
      <c r="M219" s="64"/>
    </row>
    <row r="220" spans="2:13" s="93" customFormat="1">
      <c r="B220" s="94"/>
      <c r="G220" s="64"/>
      <c r="H220" s="64"/>
      <c r="I220" s="64"/>
      <c r="J220" s="64"/>
      <c r="K220" s="64"/>
      <c r="L220" s="64"/>
      <c r="M220" s="64"/>
    </row>
    <row r="221" spans="2:13" s="93" customFormat="1">
      <c r="B221" s="94"/>
      <c r="G221" s="64"/>
      <c r="H221" s="64"/>
      <c r="I221" s="64"/>
      <c r="J221" s="64"/>
      <c r="K221" s="64"/>
      <c r="L221" s="64"/>
      <c r="M221" s="64"/>
    </row>
    <row r="222" spans="2:13" s="93" customFormat="1">
      <c r="B222" s="94"/>
      <c r="G222" s="64"/>
      <c r="H222" s="64"/>
      <c r="I222" s="64"/>
      <c r="J222" s="64"/>
      <c r="K222" s="64"/>
      <c r="L222" s="64"/>
      <c r="M222" s="64"/>
    </row>
    <row r="223" spans="2:13" s="93" customFormat="1">
      <c r="B223" s="94"/>
      <c r="G223" s="64"/>
      <c r="H223" s="64"/>
      <c r="I223" s="64"/>
      <c r="J223" s="64"/>
      <c r="K223" s="64"/>
      <c r="L223" s="64"/>
      <c r="M223" s="64"/>
    </row>
    <row r="224" spans="2:13" s="93" customFormat="1">
      <c r="B224" s="94"/>
      <c r="G224" s="64"/>
      <c r="H224" s="64"/>
      <c r="I224" s="64"/>
      <c r="J224" s="64"/>
      <c r="K224" s="64"/>
      <c r="L224" s="64"/>
      <c r="M224" s="64"/>
    </row>
    <row r="225" spans="2:13" s="93" customFormat="1">
      <c r="B225" s="94"/>
      <c r="G225" s="64"/>
      <c r="H225" s="64"/>
      <c r="I225" s="64"/>
      <c r="J225" s="64"/>
      <c r="K225" s="64"/>
      <c r="L225" s="64"/>
      <c r="M225" s="64"/>
    </row>
    <row r="226" spans="2:13" s="93" customFormat="1">
      <c r="B226" s="94"/>
      <c r="G226" s="64"/>
      <c r="H226" s="64"/>
      <c r="I226" s="64"/>
      <c r="J226" s="64"/>
      <c r="K226" s="64"/>
      <c r="L226" s="64"/>
      <c r="M226" s="64"/>
    </row>
    <row r="227" spans="2:13" s="93" customFormat="1">
      <c r="B227" s="94"/>
      <c r="G227" s="64"/>
      <c r="H227" s="64"/>
      <c r="I227" s="64"/>
      <c r="J227" s="64"/>
      <c r="K227" s="64"/>
      <c r="L227" s="64"/>
      <c r="M227" s="64"/>
    </row>
    <row r="228" spans="2:13" s="93" customFormat="1">
      <c r="B228" s="94"/>
      <c r="G228" s="64"/>
      <c r="H228" s="64"/>
      <c r="I228" s="64"/>
      <c r="J228" s="64"/>
      <c r="K228" s="64"/>
      <c r="L228" s="64"/>
      <c r="M228" s="64"/>
    </row>
    <row r="229" spans="2:13" s="93" customFormat="1">
      <c r="B229" s="94"/>
      <c r="G229" s="64"/>
      <c r="H229" s="64"/>
      <c r="I229" s="64"/>
      <c r="J229" s="64"/>
      <c r="K229" s="64"/>
      <c r="L229" s="64"/>
      <c r="M229" s="64"/>
    </row>
    <row r="230" spans="2:13" s="93" customFormat="1">
      <c r="B230" s="94"/>
      <c r="G230" s="64"/>
      <c r="H230" s="64"/>
      <c r="I230" s="64"/>
      <c r="J230" s="64"/>
      <c r="K230" s="64"/>
      <c r="L230" s="64"/>
      <c r="M230" s="64"/>
    </row>
    <row r="231" spans="2:13" s="93" customFormat="1">
      <c r="B231" s="94"/>
      <c r="G231" s="64"/>
      <c r="H231" s="64"/>
      <c r="I231" s="64"/>
      <c r="J231" s="64"/>
      <c r="K231" s="64"/>
      <c r="L231" s="64"/>
      <c r="M231" s="64"/>
    </row>
    <row r="232" spans="2:13" s="93" customFormat="1">
      <c r="B232" s="94"/>
      <c r="G232" s="64"/>
      <c r="H232" s="64"/>
      <c r="I232" s="64"/>
      <c r="J232" s="64"/>
      <c r="K232" s="64"/>
      <c r="L232" s="64"/>
      <c r="M232" s="64"/>
    </row>
    <row r="233" spans="2:13" s="93" customFormat="1">
      <c r="B233" s="94"/>
      <c r="G233" s="64"/>
      <c r="H233" s="64"/>
      <c r="I233" s="64"/>
      <c r="J233" s="64"/>
      <c r="K233" s="64"/>
      <c r="L233" s="64"/>
      <c r="M233" s="64"/>
    </row>
    <row r="234" spans="2:13" s="93" customFormat="1">
      <c r="B234" s="94"/>
      <c r="G234" s="64"/>
      <c r="H234" s="64"/>
      <c r="I234" s="64"/>
      <c r="J234" s="64"/>
      <c r="K234" s="64"/>
      <c r="L234" s="64"/>
      <c r="M234" s="64"/>
    </row>
    <row r="235" spans="2:13" s="93" customFormat="1">
      <c r="B235" s="94"/>
      <c r="G235" s="64"/>
      <c r="H235" s="64"/>
      <c r="I235" s="64"/>
      <c r="J235" s="64"/>
      <c r="K235" s="64"/>
      <c r="L235" s="64"/>
      <c r="M235" s="64"/>
    </row>
    <row r="236" spans="2:13" s="93" customFormat="1">
      <c r="B236" s="94"/>
      <c r="G236" s="64"/>
      <c r="H236" s="64"/>
      <c r="I236" s="64"/>
      <c r="J236" s="64"/>
      <c r="K236" s="64"/>
      <c r="L236" s="64"/>
      <c r="M236" s="64"/>
    </row>
    <row r="237" spans="2:13" s="93" customFormat="1">
      <c r="B237" s="94"/>
      <c r="G237" s="64"/>
      <c r="H237" s="64"/>
      <c r="I237" s="64"/>
      <c r="J237" s="64"/>
      <c r="K237" s="64"/>
      <c r="L237" s="64"/>
      <c r="M237" s="64"/>
    </row>
    <row r="238" spans="2:13" s="93" customFormat="1">
      <c r="B238" s="94"/>
      <c r="G238" s="64"/>
      <c r="H238" s="64"/>
      <c r="I238" s="64"/>
      <c r="J238" s="64"/>
      <c r="K238" s="64"/>
      <c r="L238" s="64"/>
      <c r="M238" s="64"/>
    </row>
    <row r="239" spans="2:13" s="93" customFormat="1">
      <c r="B239" s="94"/>
      <c r="G239" s="64"/>
      <c r="H239" s="64"/>
      <c r="I239" s="64"/>
      <c r="J239" s="64"/>
      <c r="K239" s="64"/>
      <c r="L239" s="64"/>
      <c r="M239" s="64"/>
    </row>
    <row r="240" spans="2:13" s="93" customFormat="1">
      <c r="B240" s="94"/>
      <c r="G240" s="64"/>
      <c r="H240" s="64"/>
      <c r="I240" s="64"/>
      <c r="J240" s="64"/>
      <c r="K240" s="64"/>
      <c r="L240" s="64"/>
      <c r="M240" s="64"/>
    </row>
    <row r="241" spans="2:13" s="93" customFormat="1">
      <c r="B241" s="94"/>
      <c r="G241" s="64"/>
      <c r="H241" s="64"/>
      <c r="I241" s="64"/>
      <c r="J241" s="64"/>
      <c r="K241" s="64"/>
      <c r="L241" s="64"/>
      <c r="M241" s="64"/>
    </row>
    <row r="242" spans="2:13" s="93" customFormat="1">
      <c r="B242" s="94"/>
      <c r="G242" s="64"/>
      <c r="H242" s="64"/>
      <c r="I242" s="64"/>
      <c r="J242" s="64"/>
      <c r="K242" s="64"/>
      <c r="L242" s="64"/>
      <c r="M242" s="64"/>
    </row>
    <row r="243" spans="2:13" s="93" customFormat="1">
      <c r="B243" s="94"/>
      <c r="G243" s="64"/>
      <c r="H243" s="64"/>
      <c r="I243" s="64"/>
      <c r="J243" s="64"/>
      <c r="K243" s="64"/>
      <c r="L243" s="64"/>
      <c r="M243" s="64"/>
    </row>
    <row r="244" spans="2:13" s="93" customFormat="1">
      <c r="B244" s="94"/>
      <c r="G244" s="64"/>
      <c r="H244" s="64"/>
      <c r="I244" s="64"/>
      <c r="J244" s="64"/>
      <c r="K244" s="64"/>
      <c r="L244" s="64"/>
      <c r="M244" s="64"/>
    </row>
    <row r="245" spans="2:13" s="93" customFormat="1">
      <c r="B245" s="94"/>
      <c r="G245" s="64"/>
      <c r="H245" s="64"/>
      <c r="I245" s="64"/>
      <c r="J245" s="64"/>
      <c r="K245" s="64"/>
      <c r="L245" s="64"/>
      <c r="M245" s="64"/>
    </row>
    <row r="246" spans="2:13" s="93" customFormat="1">
      <c r="B246" s="94"/>
      <c r="G246" s="64"/>
      <c r="H246" s="64"/>
      <c r="I246" s="64"/>
      <c r="J246" s="64"/>
      <c r="K246" s="64"/>
      <c r="L246" s="64"/>
      <c r="M246" s="64"/>
    </row>
    <row r="247" spans="2:13" s="93" customFormat="1">
      <c r="B247" s="94"/>
      <c r="G247" s="64"/>
      <c r="H247" s="64"/>
      <c r="I247" s="64"/>
      <c r="J247" s="64"/>
      <c r="K247" s="64"/>
      <c r="L247" s="64"/>
      <c r="M247" s="64"/>
    </row>
    <row r="248" spans="2:13" s="93" customFormat="1">
      <c r="B248" s="94"/>
      <c r="G248" s="64"/>
      <c r="H248" s="64"/>
      <c r="I248" s="64"/>
      <c r="J248" s="64"/>
      <c r="K248" s="64"/>
      <c r="L248" s="64"/>
      <c r="M248" s="64"/>
    </row>
    <row r="249" spans="2:13" s="93" customFormat="1">
      <c r="B249" s="94"/>
      <c r="G249" s="64"/>
      <c r="H249" s="64"/>
      <c r="I249" s="64"/>
      <c r="J249" s="64"/>
      <c r="K249" s="64"/>
      <c r="L249" s="64"/>
      <c r="M249" s="64"/>
    </row>
    <row r="250" spans="2:13" s="93" customFormat="1">
      <c r="B250" s="94"/>
      <c r="G250" s="64"/>
      <c r="H250" s="64"/>
      <c r="I250" s="64"/>
      <c r="J250" s="64"/>
      <c r="K250" s="64"/>
      <c r="L250" s="64"/>
      <c r="M250" s="64"/>
    </row>
    <row r="251" spans="2:13" s="93" customFormat="1">
      <c r="B251" s="94"/>
      <c r="G251" s="64"/>
      <c r="H251" s="64"/>
      <c r="I251" s="64"/>
      <c r="J251" s="64"/>
      <c r="K251" s="64"/>
      <c r="L251" s="64"/>
      <c r="M251" s="64"/>
    </row>
    <row r="252" spans="2:13" s="93" customFormat="1">
      <c r="B252" s="94"/>
      <c r="G252" s="64"/>
      <c r="H252" s="64"/>
      <c r="I252" s="64"/>
      <c r="J252" s="64"/>
      <c r="K252" s="64"/>
      <c r="L252" s="64"/>
      <c r="M252" s="64"/>
    </row>
    <row r="253" spans="2:13" s="93" customFormat="1">
      <c r="B253" s="94"/>
      <c r="G253" s="64"/>
      <c r="H253" s="64"/>
      <c r="I253" s="64"/>
      <c r="J253" s="64"/>
      <c r="K253" s="64"/>
      <c r="L253" s="64"/>
      <c r="M253" s="64"/>
    </row>
    <row r="254" spans="2:13" s="93" customFormat="1">
      <c r="B254" s="94"/>
      <c r="G254" s="64"/>
      <c r="H254" s="64"/>
      <c r="I254" s="64"/>
      <c r="J254" s="64"/>
      <c r="K254" s="64"/>
      <c r="L254" s="64"/>
      <c r="M254" s="64"/>
    </row>
    <row r="255" spans="2:13" s="93" customFormat="1">
      <c r="B255" s="94"/>
      <c r="G255" s="64"/>
      <c r="H255" s="64"/>
      <c r="I255" s="64"/>
      <c r="J255" s="64"/>
      <c r="K255" s="64"/>
      <c r="L255" s="64"/>
      <c r="M255" s="64"/>
    </row>
    <row r="256" spans="2:13" s="93" customFormat="1">
      <c r="B256" s="94"/>
      <c r="G256" s="64"/>
      <c r="H256" s="64"/>
      <c r="I256" s="64"/>
      <c r="J256" s="64"/>
      <c r="K256" s="64"/>
      <c r="L256" s="64"/>
      <c r="M256" s="64"/>
    </row>
    <row r="257" spans="2:13" s="93" customFormat="1">
      <c r="B257" s="94"/>
      <c r="G257" s="64"/>
      <c r="H257" s="64"/>
      <c r="I257" s="64"/>
      <c r="J257" s="64"/>
      <c r="K257" s="64"/>
      <c r="L257" s="64"/>
      <c r="M257" s="64"/>
    </row>
    <row r="258" spans="2:13" s="93" customFormat="1">
      <c r="B258" s="94"/>
      <c r="G258" s="64"/>
      <c r="H258" s="64"/>
      <c r="I258" s="64"/>
      <c r="J258" s="64"/>
      <c r="K258" s="64"/>
      <c r="L258" s="64"/>
      <c r="M258" s="64"/>
    </row>
    <row r="259" spans="2:13" s="93" customFormat="1">
      <c r="B259" s="94"/>
      <c r="G259" s="64"/>
      <c r="H259" s="64"/>
      <c r="I259" s="64"/>
      <c r="J259" s="64"/>
      <c r="K259" s="64"/>
      <c r="L259" s="64"/>
      <c r="M259" s="64"/>
    </row>
    <row r="260" spans="2:13" s="93" customFormat="1">
      <c r="B260" s="94"/>
      <c r="G260" s="64"/>
      <c r="H260" s="64"/>
      <c r="I260" s="64"/>
      <c r="J260" s="64"/>
      <c r="K260" s="64"/>
      <c r="L260" s="64"/>
      <c r="M260" s="64"/>
    </row>
    <row r="261" spans="2:13" s="93" customFormat="1">
      <c r="B261" s="94"/>
      <c r="G261" s="64"/>
      <c r="H261" s="64"/>
      <c r="I261" s="64"/>
      <c r="J261" s="64"/>
      <c r="K261" s="64"/>
      <c r="L261" s="64"/>
      <c r="M261" s="64"/>
    </row>
    <row r="262" spans="2:13" s="93" customFormat="1">
      <c r="B262" s="94"/>
      <c r="G262" s="64"/>
      <c r="H262" s="64"/>
      <c r="I262" s="64"/>
      <c r="J262" s="64"/>
      <c r="K262" s="64"/>
      <c r="L262" s="64"/>
      <c r="M262" s="64"/>
    </row>
    <row r="263" spans="2:13" s="93" customFormat="1">
      <c r="B263" s="94"/>
      <c r="G263" s="64"/>
      <c r="H263" s="64"/>
      <c r="I263" s="64"/>
      <c r="J263" s="64"/>
      <c r="K263" s="64"/>
      <c r="L263" s="64"/>
      <c r="M263" s="64"/>
    </row>
    <row r="264" spans="2:13" s="93" customFormat="1">
      <c r="B264" s="94"/>
      <c r="G264" s="64"/>
      <c r="H264" s="64"/>
      <c r="I264" s="64"/>
      <c r="J264" s="64"/>
      <c r="K264" s="64"/>
      <c r="L264" s="64"/>
      <c r="M264" s="64"/>
    </row>
    <row r="265" spans="2:13" s="93" customFormat="1">
      <c r="B265" s="94"/>
      <c r="G265" s="64"/>
      <c r="H265" s="64"/>
      <c r="I265" s="64"/>
      <c r="J265" s="64"/>
      <c r="K265" s="64"/>
      <c r="L265" s="64"/>
      <c r="M265" s="64"/>
    </row>
    <row r="266" spans="2:13" s="93" customFormat="1">
      <c r="B266" s="94"/>
      <c r="G266" s="64"/>
      <c r="H266" s="64"/>
      <c r="I266" s="64"/>
      <c r="J266" s="64"/>
      <c r="K266" s="64"/>
      <c r="L266" s="64"/>
      <c r="M266" s="64"/>
    </row>
    <row r="267" spans="2:13" s="93" customFormat="1">
      <c r="B267" s="94"/>
      <c r="G267" s="64"/>
      <c r="H267" s="64"/>
      <c r="I267" s="64"/>
      <c r="J267" s="64"/>
      <c r="K267" s="64"/>
      <c r="L267" s="64"/>
      <c r="M267" s="64"/>
    </row>
    <row r="268" spans="2:13" s="93" customFormat="1">
      <c r="B268" s="94"/>
      <c r="G268" s="64"/>
      <c r="H268" s="64"/>
      <c r="I268" s="64"/>
      <c r="J268" s="64"/>
      <c r="K268" s="64"/>
      <c r="L268" s="64"/>
      <c r="M268" s="64"/>
    </row>
    <row r="269" spans="2:13" s="93" customFormat="1">
      <c r="B269" s="94"/>
      <c r="G269" s="64"/>
      <c r="H269" s="64"/>
      <c r="I269" s="64"/>
      <c r="J269" s="64"/>
      <c r="K269" s="64"/>
      <c r="L269" s="64"/>
      <c r="M269" s="64"/>
    </row>
    <row r="270" spans="2:13" s="93" customFormat="1">
      <c r="B270" s="94"/>
      <c r="G270" s="64"/>
      <c r="H270" s="64"/>
      <c r="I270" s="64"/>
      <c r="J270" s="64"/>
      <c r="K270" s="64"/>
      <c r="L270" s="64"/>
      <c r="M270" s="64"/>
    </row>
    <row r="271" spans="2:13" s="93" customFormat="1">
      <c r="B271" s="94"/>
      <c r="G271" s="64"/>
      <c r="H271" s="64"/>
      <c r="I271" s="64"/>
      <c r="J271" s="64"/>
      <c r="K271" s="64"/>
      <c r="L271" s="64"/>
      <c r="M271" s="64"/>
    </row>
    <row r="272" spans="2:13" s="93" customFormat="1">
      <c r="B272" s="94"/>
      <c r="G272" s="64"/>
      <c r="H272" s="64"/>
      <c r="I272" s="64"/>
      <c r="J272" s="64"/>
      <c r="K272" s="64"/>
      <c r="L272" s="64"/>
      <c r="M272" s="64"/>
    </row>
    <row r="273" spans="2:13" s="93" customFormat="1">
      <c r="B273" s="94"/>
      <c r="G273" s="64"/>
      <c r="H273" s="64"/>
      <c r="I273" s="64"/>
      <c r="J273" s="64"/>
      <c r="K273" s="64"/>
      <c r="L273" s="64"/>
      <c r="M273" s="64"/>
    </row>
    <row r="274" spans="2:13" s="93" customFormat="1">
      <c r="B274" s="94"/>
      <c r="G274" s="64"/>
      <c r="H274" s="64"/>
      <c r="I274" s="64"/>
      <c r="J274" s="64"/>
      <c r="K274" s="64"/>
      <c r="L274" s="64"/>
      <c r="M274" s="64"/>
    </row>
    <row r="275" spans="2:13" s="93" customFormat="1">
      <c r="B275" s="94"/>
      <c r="G275" s="64"/>
      <c r="H275" s="64"/>
      <c r="I275" s="64"/>
      <c r="J275" s="64"/>
      <c r="K275" s="64"/>
      <c r="L275" s="64"/>
      <c r="M275" s="64"/>
    </row>
    <row r="276" spans="2:13" s="93" customFormat="1">
      <c r="B276" s="94"/>
      <c r="G276" s="64"/>
      <c r="H276" s="64"/>
      <c r="I276" s="64"/>
      <c r="J276" s="64"/>
      <c r="K276" s="64"/>
      <c r="L276" s="64"/>
      <c r="M276" s="64"/>
    </row>
    <row r="277" spans="2:13" s="93" customFormat="1">
      <c r="B277" s="94"/>
      <c r="G277" s="64"/>
      <c r="H277" s="64"/>
      <c r="I277" s="64"/>
      <c r="J277" s="64"/>
      <c r="K277" s="64"/>
      <c r="L277" s="64"/>
      <c r="M277" s="64"/>
    </row>
    <row r="278" spans="2:13" s="93" customFormat="1">
      <c r="B278" s="94"/>
      <c r="G278" s="64"/>
      <c r="H278" s="64"/>
      <c r="I278" s="64"/>
      <c r="J278" s="64"/>
      <c r="K278" s="64"/>
      <c r="L278" s="64"/>
      <c r="M278" s="64"/>
    </row>
    <row r="279" spans="2:13" s="93" customFormat="1">
      <c r="B279" s="94"/>
      <c r="G279" s="64"/>
      <c r="H279" s="64"/>
      <c r="I279" s="64"/>
      <c r="J279" s="64"/>
      <c r="K279" s="64"/>
      <c r="L279" s="64"/>
      <c r="M279" s="64"/>
    </row>
    <row r="280" spans="2:13" s="93" customFormat="1">
      <c r="B280" s="94"/>
      <c r="G280" s="64"/>
      <c r="H280" s="64"/>
      <c r="I280" s="64"/>
      <c r="J280" s="64"/>
      <c r="K280" s="64"/>
      <c r="L280" s="64"/>
      <c r="M280" s="64"/>
    </row>
    <row r="281" spans="2:13" s="93" customFormat="1">
      <c r="B281" s="94"/>
      <c r="G281" s="64"/>
      <c r="H281" s="64"/>
      <c r="I281" s="64"/>
      <c r="J281" s="64"/>
      <c r="K281" s="64"/>
      <c r="L281" s="64"/>
      <c r="M281" s="64"/>
    </row>
    <row r="282" spans="2:13" s="93" customFormat="1">
      <c r="B282" s="94"/>
      <c r="G282" s="64"/>
      <c r="H282" s="64"/>
      <c r="I282" s="64"/>
      <c r="J282" s="64"/>
      <c r="K282" s="64"/>
      <c r="L282" s="64"/>
      <c r="M282" s="64"/>
    </row>
    <row r="283" spans="2:13" s="93" customFormat="1">
      <c r="B283" s="94"/>
      <c r="G283" s="64"/>
      <c r="H283" s="64"/>
      <c r="I283" s="64"/>
      <c r="J283" s="64"/>
      <c r="K283" s="64"/>
      <c r="L283" s="64"/>
      <c r="M283" s="64"/>
    </row>
    <row r="284" spans="2:13" s="93" customFormat="1">
      <c r="B284" s="94"/>
      <c r="G284" s="64"/>
      <c r="H284" s="64"/>
      <c r="I284" s="64"/>
      <c r="J284" s="64"/>
      <c r="K284" s="64"/>
      <c r="L284" s="64"/>
      <c r="M284" s="64"/>
    </row>
    <row r="285" spans="2:13" s="93" customFormat="1">
      <c r="B285" s="94"/>
      <c r="G285" s="64"/>
      <c r="H285" s="64"/>
      <c r="I285" s="64"/>
      <c r="J285" s="64"/>
      <c r="K285" s="64"/>
      <c r="L285" s="64"/>
      <c r="M285" s="64"/>
    </row>
    <row r="286" spans="2:13" s="93" customFormat="1">
      <c r="B286" s="94"/>
      <c r="G286" s="64"/>
      <c r="H286" s="64"/>
      <c r="I286" s="64"/>
      <c r="J286" s="64"/>
      <c r="K286" s="64"/>
      <c r="L286" s="64"/>
      <c r="M286" s="64"/>
    </row>
    <row r="287" spans="2:13" s="93" customFormat="1">
      <c r="B287" s="94"/>
      <c r="G287" s="64"/>
      <c r="H287" s="64"/>
      <c r="I287" s="64"/>
      <c r="J287" s="64"/>
      <c r="K287" s="64"/>
      <c r="L287" s="64"/>
      <c r="M287" s="64"/>
    </row>
    <row r="288" spans="2:13" s="93" customFormat="1">
      <c r="B288" s="94"/>
      <c r="G288" s="64"/>
      <c r="H288" s="64"/>
      <c r="I288" s="64"/>
      <c r="J288" s="64"/>
      <c r="K288" s="64"/>
      <c r="L288" s="64"/>
      <c r="M288" s="64"/>
    </row>
    <row r="289" spans="2:13" s="93" customFormat="1">
      <c r="B289" s="94"/>
      <c r="G289" s="64"/>
      <c r="H289" s="64"/>
      <c r="I289" s="64"/>
      <c r="J289" s="64"/>
      <c r="K289" s="64"/>
      <c r="L289" s="64"/>
      <c r="M289" s="64"/>
    </row>
  </sheetData>
  <mergeCells count="89">
    <mergeCell ref="J4:M4"/>
    <mergeCell ref="D96:G96"/>
    <mergeCell ref="D97:G97"/>
    <mergeCell ref="D101:G101"/>
    <mergeCell ref="B88:G88"/>
    <mergeCell ref="F82:G82"/>
    <mergeCell ref="F85:G85"/>
    <mergeCell ref="C90:G90"/>
    <mergeCell ref="D78:G78"/>
    <mergeCell ref="D81:G81"/>
    <mergeCell ref="F83:G83"/>
    <mergeCell ref="F84:G84"/>
    <mergeCell ref="C95:G95"/>
    <mergeCell ref="D91:G91"/>
    <mergeCell ref="D92:G92"/>
    <mergeCell ref="F80:G80"/>
    <mergeCell ref="D72:G72"/>
    <mergeCell ref="F63:G63"/>
    <mergeCell ref="F67:G67"/>
    <mergeCell ref="F68:G68"/>
    <mergeCell ref="F56:G56"/>
    <mergeCell ref="F59:G59"/>
    <mergeCell ref="F61:G61"/>
    <mergeCell ref="D60:G60"/>
    <mergeCell ref="F70:G70"/>
    <mergeCell ref="F71:G71"/>
    <mergeCell ref="F62:G62"/>
    <mergeCell ref="F76:G76"/>
    <mergeCell ref="F75:G75"/>
    <mergeCell ref="F79:G79"/>
    <mergeCell ref="F50:G50"/>
    <mergeCell ref="F51:G51"/>
    <mergeCell ref="F69:G69"/>
    <mergeCell ref="D66:G66"/>
    <mergeCell ref="F58:G58"/>
    <mergeCell ref="F57:G57"/>
    <mergeCell ref="F74:G74"/>
    <mergeCell ref="D77:G77"/>
    <mergeCell ref="D64:G64"/>
    <mergeCell ref="D65:G65"/>
    <mergeCell ref="D73:G73"/>
    <mergeCell ref="F54:G54"/>
    <mergeCell ref="F55:G55"/>
    <mergeCell ref="D117:G117"/>
    <mergeCell ref="D118:G118"/>
    <mergeCell ref="C111:G111"/>
    <mergeCell ref="C100:G100"/>
    <mergeCell ref="F105:G105"/>
    <mergeCell ref="F106:G106"/>
    <mergeCell ref="F115:G115"/>
    <mergeCell ref="F114:G114"/>
    <mergeCell ref="F103:G103"/>
    <mergeCell ref="F116:G116"/>
    <mergeCell ref="F113:G113"/>
    <mergeCell ref="F102:G102"/>
    <mergeCell ref="D112:G112"/>
    <mergeCell ref="D104:G104"/>
    <mergeCell ref="F44:G44"/>
    <mergeCell ref="F52:G52"/>
    <mergeCell ref="F53:G53"/>
    <mergeCell ref="D33:G33"/>
    <mergeCell ref="D34:G34"/>
    <mergeCell ref="D35:G35"/>
    <mergeCell ref="F43:G43"/>
    <mergeCell ref="F45:G45"/>
    <mergeCell ref="D39:G39"/>
    <mergeCell ref="D42:G42"/>
    <mergeCell ref="F46:G46"/>
    <mergeCell ref="F47:G47"/>
    <mergeCell ref="F48:G48"/>
    <mergeCell ref="F49:G49"/>
    <mergeCell ref="F41:G41"/>
    <mergeCell ref="C38:G38"/>
    <mergeCell ref="F40:G40"/>
    <mergeCell ref="B1:K1"/>
    <mergeCell ref="D10:G10"/>
    <mergeCell ref="D25:G25"/>
    <mergeCell ref="D26:G26"/>
    <mergeCell ref="D32:G32"/>
    <mergeCell ref="D27:G27"/>
    <mergeCell ref="D31:G31"/>
    <mergeCell ref="C9:G9"/>
    <mergeCell ref="F24:G24"/>
    <mergeCell ref="F28:G28"/>
    <mergeCell ref="F29:G29"/>
    <mergeCell ref="F11:G11"/>
    <mergeCell ref="F12:G12"/>
    <mergeCell ref="F19:G19"/>
    <mergeCell ref="F30:G30"/>
  </mergeCells>
  <phoneticPr fontId="3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50" fitToHeight="0" orientation="portrait" r:id="rId1"/>
  <headerFooter alignWithMargins="0">
    <oddFooter>&amp;C&amp;"Garamond,Corsivo"&amp;P / &amp;N</oddFooter>
  </headerFooter>
  <rowBreaks count="1" manualBreakCount="1">
    <brk id="8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289"/>
  <sheetViews>
    <sheetView showGridLines="0" view="pageBreakPreview" zoomScale="90" zoomScaleNormal="100" zoomScaleSheetLayoutView="90" workbookViewId="0">
      <pane xSplit="7" ySplit="8" topLeftCell="H41" activePane="bottomRight" state="frozen"/>
      <selection activeCell="F40" sqref="F40:G40"/>
      <selection pane="topRight" activeCell="F40" sqref="F40:G40"/>
      <selection pane="bottomLeft" activeCell="F40" sqref="F40:G40"/>
      <selection pane="bottomRight" activeCell="D65" sqref="D65:G65"/>
    </sheetView>
  </sheetViews>
  <sheetFormatPr defaultColWidth="10.42578125" defaultRowHeight="15"/>
  <cols>
    <col min="1" max="1" width="10.42578125" style="64"/>
    <col min="2" max="2" width="4" style="93" customWidth="1"/>
    <col min="3" max="3" width="4.5703125" style="93" customWidth="1"/>
    <col min="4" max="4" width="2.5703125" style="93" customWidth="1"/>
    <col min="5" max="6" width="4" style="93" customWidth="1"/>
    <col min="7" max="7" width="59.5703125" style="64" customWidth="1"/>
    <col min="8" max="9" width="23.140625" style="64" customWidth="1"/>
    <col min="10" max="10" width="19.7109375" style="64" customWidth="1"/>
    <col min="11" max="11" width="15.85546875" style="64" bestFit="1" customWidth="1"/>
    <col min="12" max="12" width="1.42578125" style="64" customWidth="1"/>
    <col min="13" max="13" width="23.7109375" style="64" customWidth="1"/>
    <col min="14" max="16384" width="10.42578125" style="64"/>
  </cols>
  <sheetData>
    <row r="1" spans="1:14" s="52" customFormat="1" ht="36.75" customHeight="1">
      <c r="B1" s="627" t="s">
        <v>1438</v>
      </c>
      <c r="C1" s="627" t="s">
        <v>1438</v>
      </c>
      <c r="D1" s="627"/>
      <c r="E1" s="627"/>
      <c r="F1" s="627"/>
      <c r="G1" s="627"/>
      <c r="H1" s="627"/>
      <c r="I1" s="627"/>
      <c r="J1" s="627"/>
      <c r="K1" s="627"/>
      <c r="L1" s="53"/>
      <c r="M1" s="53"/>
      <c r="N1" s="53"/>
    </row>
    <row r="2" spans="1:14" s="52" customFormat="1">
      <c r="B2" s="54"/>
      <c r="C2" s="54"/>
      <c r="D2" s="54"/>
      <c r="E2" s="54"/>
      <c r="F2" s="54"/>
      <c r="G2" s="54"/>
    </row>
    <row r="3" spans="1:14" s="52" customFormat="1" ht="15.75" thickBot="1">
      <c r="B3" s="54"/>
      <c r="C3" s="54"/>
      <c r="D3" s="54"/>
      <c r="E3" s="54"/>
      <c r="F3" s="54"/>
      <c r="G3" s="54"/>
    </row>
    <row r="4" spans="1:14" s="55" customFormat="1" ht="27.6" customHeight="1">
      <c r="B4" s="56" t="s">
        <v>3092</v>
      </c>
      <c r="C4" s="57"/>
      <c r="D4" s="57"/>
      <c r="E4" s="57"/>
      <c r="F4" s="57"/>
      <c r="G4" s="57"/>
      <c r="H4" s="57"/>
      <c r="I4" s="57"/>
      <c r="J4" s="632" t="s">
        <v>3146</v>
      </c>
      <c r="K4" s="633"/>
      <c r="L4" s="633"/>
      <c r="M4" s="634"/>
    </row>
    <row r="5" spans="1:14" s="55" customFormat="1" ht="27.6" customHeight="1" thickBot="1">
      <c r="B5" s="60"/>
      <c r="C5" s="61"/>
      <c r="D5" s="61"/>
      <c r="E5" s="61"/>
      <c r="F5" s="61"/>
      <c r="G5" s="61"/>
      <c r="H5" s="61"/>
      <c r="I5" s="61"/>
      <c r="J5" s="290"/>
      <c r="K5" s="291"/>
      <c r="L5" s="292"/>
      <c r="M5" s="293"/>
    </row>
    <row r="6" spans="1:14" ht="15" customHeight="1" thickBot="1">
      <c r="B6" s="65"/>
      <c r="C6" s="65"/>
      <c r="D6" s="65"/>
      <c r="E6" s="65"/>
      <c r="F6" s="65"/>
      <c r="G6" s="65"/>
      <c r="H6" s="66"/>
    </row>
    <row r="7" spans="1:14" ht="39.75" customHeight="1">
      <c r="B7" s="67" t="s">
        <v>3685</v>
      </c>
      <c r="C7" s="68"/>
      <c r="D7" s="68"/>
      <c r="E7" s="68"/>
      <c r="F7" s="68"/>
      <c r="G7" s="69"/>
      <c r="H7" s="284" t="s">
        <v>3774</v>
      </c>
      <c r="I7" s="284" t="s">
        <v>4368</v>
      </c>
      <c r="J7" s="71" t="str">
        <f>CONCATENATE("ABWEICHUNG ",  H8, " / ", I8)</f>
        <v>ABWEICHUNG 2020 / 2019</v>
      </c>
      <c r="K7" s="72"/>
      <c r="M7" s="294" t="s">
        <v>4370</v>
      </c>
    </row>
    <row r="8" spans="1:14" ht="22.5" customHeight="1">
      <c r="B8" s="73"/>
      <c r="C8" s="74"/>
      <c r="D8" s="74"/>
      <c r="E8" s="74"/>
      <c r="F8" s="74"/>
      <c r="G8" s="75"/>
      <c r="H8" s="76">
        <f>IF('CE statale'!H8=0,"",'CE statale'!H8)</f>
        <v>2020</v>
      </c>
      <c r="I8" s="76">
        <f>IF('CE statale'!I8=0,"",'CE statale'!I8)</f>
        <v>2019</v>
      </c>
      <c r="J8" s="77" t="s">
        <v>2931</v>
      </c>
      <c r="K8" s="78" t="s">
        <v>3174</v>
      </c>
      <c r="M8" s="295">
        <f>IF('CE statale'!M8=0,"",'CE statale'!M8)</f>
        <v>2018</v>
      </c>
    </row>
    <row r="9" spans="1:14" s="79" customFormat="1">
      <c r="A9" s="209"/>
      <c r="B9" s="210" t="s">
        <v>3182</v>
      </c>
      <c r="C9" s="630" t="s">
        <v>1440</v>
      </c>
      <c r="D9" s="630"/>
      <c r="E9" s="630"/>
      <c r="F9" s="630"/>
      <c r="G9" s="631"/>
      <c r="H9" s="211" t="str">
        <f>IF('CE statale'!H9=0,"",'CE statale'!H9)</f>
        <v/>
      </c>
      <c r="I9" s="211" t="str">
        <f>IF('CE statale'!I9=0,"",'CE statale'!I9)</f>
        <v/>
      </c>
      <c r="J9" s="212" t="str">
        <f>IF('CE statale'!J9=0,"",'CE statale'!J9)</f>
        <v/>
      </c>
      <c r="K9" s="213" t="str">
        <f>IF('CE statale'!K9=0,"",'CE statale'!K9)</f>
        <v/>
      </c>
      <c r="L9" s="214"/>
      <c r="M9" s="296"/>
    </row>
    <row r="10" spans="1:14" s="79" customFormat="1">
      <c r="A10" s="209"/>
      <c r="B10" s="215"/>
      <c r="C10" s="216" t="s">
        <v>2849</v>
      </c>
      <c r="D10" s="628" t="s">
        <v>1442</v>
      </c>
      <c r="E10" s="628"/>
      <c r="F10" s="628"/>
      <c r="G10" s="629"/>
      <c r="H10" s="217">
        <f>IF('CE statale'!H10=0,"",'CE statale'!H10)</f>
        <v>1252767942.5699999</v>
      </c>
      <c r="I10" s="217">
        <f>IF('CE statale'!I10=0,"",'CE statale'!I10)</f>
        <v>1238103106.9300001</v>
      </c>
      <c r="J10" s="218">
        <f>IF('CE statale'!J10=0,"",'CE statale'!J10)</f>
        <v>14664835.639999866</v>
      </c>
      <c r="K10" s="219">
        <f>IF('CE statale'!K10=0,"",'CE statale'!K10)</f>
        <v>1.1844599660494179E-2</v>
      </c>
      <c r="L10" s="214"/>
      <c r="M10" s="297">
        <f>IF('CE statale'!M10=0,"",'CE statale'!M10)</f>
        <v>1197309589.2400002</v>
      </c>
    </row>
    <row r="11" spans="1:14" s="55" customFormat="1" ht="30" customHeight="1">
      <c r="A11" s="209" t="s">
        <v>451</v>
      </c>
      <c r="B11" s="221"/>
      <c r="C11" s="222"/>
      <c r="D11" s="223"/>
      <c r="E11" s="222" t="s">
        <v>2851</v>
      </c>
      <c r="F11" s="625" t="s">
        <v>2365</v>
      </c>
      <c r="G11" s="626"/>
      <c r="H11" s="225">
        <f>IF('CE statale'!H11=0,"",'CE statale'!H11)</f>
        <v>1203982641.27</v>
      </c>
      <c r="I11" s="225">
        <f>IF('CE statale'!I11=0,"",'CE statale'!I11)</f>
        <v>1214399062.9400001</v>
      </c>
      <c r="J11" s="226">
        <f>IF('CE statale'!J11=0,"",'CE statale'!J11)</f>
        <v>-10416421.670000076</v>
      </c>
      <c r="K11" s="227">
        <f>IF('CE statale'!K11=0,"",'CE statale'!K11)</f>
        <v>-8.5774289423300731E-3</v>
      </c>
      <c r="L11" s="209"/>
      <c r="M11" s="298">
        <f>IF('CE statale'!M11=0,"",'CE statale'!M11)</f>
        <v>1175424308.7</v>
      </c>
    </row>
    <row r="12" spans="1:14" s="55" customFormat="1">
      <c r="A12" s="209"/>
      <c r="B12" s="221"/>
      <c r="C12" s="222"/>
      <c r="D12" s="223"/>
      <c r="E12" s="222" t="s">
        <v>2853</v>
      </c>
      <c r="F12" s="625" t="s">
        <v>2366</v>
      </c>
      <c r="G12" s="626"/>
      <c r="H12" s="225">
        <f>IF('CE statale'!H12=0,"",'CE statale'!H12)</f>
        <v>48288000</v>
      </c>
      <c r="I12" s="225">
        <f>IF('CE statale'!I12=0,"",'CE statale'!I12)</f>
        <v>23423000</v>
      </c>
      <c r="J12" s="226">
        <f>IF('CE statale'!J12=0,"",'CE statale'!J12)</f>
        <v>24865000</v>
      </c>
      <c r="K12" s="227">
        <f>IF('CE statale'!K12=0,"",'CE statale'!K12)</f>
        <v>1.0615634205695257</v>
      </c>
      <c r="L12" s="209"/>
      <c r="M12" s="298">
        <f>IF('CE statale'!M12=0,"",'CE statale'!M12)</f>
        <v>21792095.649999999</v>
      </c>
    </row>
    <row r="13" spans="1:14" s="80" customFormat="1" ht="30" customHeight="1">
      <c r="A13" s="209" t="s">
        <v>2855</v>
      </c>
      <c r="B13" s="229"/>
      <c r="C13" s="230"/>
      <c r="D13" s="231"/>
      <c r="E13" s="230"/>
      <c r="F13" s="232" t="s">
        <v>2849</v>
      </c>
      <c r="G13" s="236" t="s">
        <v>5963</v>
      </c>
      <c r="H13" s="233" t="str">
        <f>IF('CE statale'!H13=0,"",'CE statale'!H13)</f>
        <v/>
      </c>
      <c r="I13" s="233" t="str">
        <f>IF('CE statale'!I13=0,"",'CE statale'!I13)</f>
        <v/>
      </c>
      <c r="J13" s="233" t="str">
        <f>IF('CE statale'!J13=0,"",'CE statale'!J13)</f>
        <v/>
      </c>
      <c r="K13" s="227" t="str">
        <f>IF('CE statale'!K13=0,"",'CE statale'!K13)</f>
        <v xml:space="preserve">-    </v>
      </c>
      <c r="L13" s="234"/>
      <c r="M13" s="299" t="str">
        <f>IF('CE statale'!M13=0,"",'CE statale'!M13)</f>
        <v/>
      </c>
    </row>
    <row r="14" spans="1:14" s="80" customFormat="1" ht="30" customHeight="1">
      <c r="A14" s="234" t="s">
        <v>2857</v>
      </c>
      <c r="B14" s="229"/>
      <c r="C14" s="230"/>
      <c r="D14" s="231"/>
      <c r="E14" s="230"/>
      <c r="F14" s="232" t="s">
        <v>2858</v>
      </c>
      <c r="G14" s="236" t="s">
        <v>2368</v>
      </c>
      <c r="H14" s="233" t="str">
        <f>IF('CE statale'!H14=0,"",'CE statale'!H14)</f>
        <v/>
      </c>
      <c r="I14" s="233" t="str">
        <f>IF('CE statale'!I14=0,"",'CE statale'!I14)</f>
        <v/>
      </c>
      <c r="J14" s="233" t="str">
        <f>IF('CE statale'!J14=0,"",'CE statale'!J14)</f>
        <v/>
      </c>
      <c r="K14" s="227" t="str">
        <f>IF('CE statale'!K14=0,"",'CE statale'!K14)</f>
        <v xml:space="preserve">-    </v>
      </c>
      <c r="L14" s="234"/>
      <c r="M14" s="299" t="str">
        <f>IF('CE statale'!M14=0,"",'CE statale'!M14)</f>
        <v/>
      </c>
    </row>
    <row r="15" spans="1:14" s="80" customFormat="1" ht="30" customHeight="1">
      <c r="A15" s="209" t="s">
        <v>2860</v>
      </c>
      <c r="B15" s="229"/>
      <c r="C15" s="230"/>
      <c r="D15" s="231"/>
      <c r="E15" s="230"/>
      <c r="F15" s="232" t="s">
        <v>2861</v>
      </c>
      <c r="G15" s="236" t="s">
        <v>5964</v>
      </c>
      <c r="H15" s="233">
        <f>IF('CE statale'!H15=0,"",'CE statale'!H15)</f>
        <v>48288000</v>
      </c>
      <c r="I15" s="233">
        <f>IF('CE statale'!I15=0,"",'CE statale'!I15)</f>
        <v>22823000</v>
      </c>
      <c r="J15" s="233">
        <f>IF('CE statale'!J15=0,"",'CE statale'!J15)</f>
        <v>25465000</v>
      </c>
      <c r="K15" s="227">
        <f>IF('CE statale'!K15=0,"",'CE statale'!K15)</f>
        <v>1.1157604171230775</v>
      </c>
      <c r="L15" s="234"/>
      <c r="M15" s="299">
        <f>IF('CE statale'!M15=0,"",'CE statale'!M15)</f>
        <v>21792095.649999999</v>
      </c>
    </row>
    <row r="16" spans="1:14" s="80" customFormat="1" ht="30" customHeight="1">
      <c r="A16" s="234" t="s">
        <v>2863</v>
      </c>
      <c r="B16" s="229"/>
      <c r="C16" s="230"/>
      <c r="D16" s="231"/>
      <c r="E16" s="230"/>
      <c r="F16" s="232" t="s">
        <v>2864</v>
      </c>
      <c r="G16" s="236" t="s">
        <v>2370</v>
      </c>
      <c r="H16" s="233" t="str">
        <f>IF('CE statale'!H16=0,"",'CE statale'!H16)</f>
        <v/>
      </c>
      <c r="I16" s="233">
        <f>IF('CE statale'!I16=0,"",'CE statale'!I16)</f>
        <v>600000</v>
      </c>
      <c r="J16" s="233">
        <f>IF('CE statale'!J16=0,"",'CE statale'!J16)</f>
        <v>-600000</v>
      </c>
      <c r="K16" s="227">
        <f>IF('CE statale'!K16=0,"",'CE statale'!K16)</f>
        <v>-1</v>
      </c>
      <c r="L16" s="234"/>
      <c r="M16" s="299" t="str">
        <f>IF('CE statale'!M16=0,"",'CE statale'!M16)</f>
        <v/>
      </c>
    </row>
    <row r="17" spans="1:13" s="80" customFormat="1" ht="30" customHeight="1">
      <c r="A17" s="209" t="s">
        <v>3536</v>
      </c>
      <c r="B17" s="229"/>
      <c r="C17" s="230"/>
      <c r="D17" s="231"/>
      <c r="E17" s="230"/>
      <c r="F17" s="232" t="s">
        <v>3537</v>
      </c>
      <c r="G17" s="236" t="s">
        <v>2371</v>
      </c>
      <c r="H17" s="233" t="str">
        <f>IF('CE statale'!H17=0,"",'CE statale'!H17)</f>
        <v/>
      </c>
      <c r="I17" s="233" t="str">
        <f>IF('CE statale'!I17=0,"",'CE statale'!I17)</f>
        <v/>
      </c>
      <c r="J17" s="233" t="str">
        <f>IF('CE statale'!J17=0,"",'CE statale'!J17)</f>
        <v/>
      </c>
      <c r="K17" s="237" t="str">
        <f>IF('CE statale'!K17=0,"",'CE statale'!K17)</f>
        <v xml:space="preserve">-    </v>
      </c>
      <c r="L17" s="234"/>
      <c r="M17" s="299" t="str">
        <f>IF('CE statale'!M17=0,"",'CE statale'!M17)</f>
        <v/>
      </c>
    </row>
    <row r="18" spans="1:13" s="80" customFormat="1">
      <c r="A18" s="234" t="s">
        <v>3539</v>
      </c>
      <c r="B18" s="229"/>
      <c r="C18" s="230"/>
      <c r="D18" s="231"/>
      <c r="E18" s="230"/>
      <c r="F18" s="232" t="s">
        <v>3540</v>
      </c>
      <c r="G18" s="236" t="s">
        <v>3686</v>
      </c>
      <c r="H18" s="233" t="str">
        <f>IF('CE statale'!H18=0,"",'CE statale'!H18)</f>
        <v/>
      </c>
      <c r="I18" s="233" t="str">
        <f>IF('CE statale'!I18=0,"",'CE statale'!I18)</f>
        <v/>
      </c>
      <c r="J18" s="233" t="str">
        <f>IF('CE statale'!J18=0,"",'CE statale'!J18)</f>
        <v/>
      </c>
      <c r="K18" s="227" t="str">
        <f>IF('CE statale'!K18=0,"",'CE statale'!K18)</f>
        <v xml:space="preserve">-    </v>
      </c>
      <c r="L18" s="234"/>
      <c r="M18" s="299" t="str">
        <f>IF('CE statale'!M18=0,"",'CE statale'!M18)</f>
        <v/>
      </c>
    </row>
    <row r="19" spans="1:13" s="55" customFormat="1">
      <c r="A19" s="209"/>
      <c r="B19" s="221"/>
      <c r="C19" s="222"/>
      <c r="D19" s="223"/>
      <c r="E19" s="222" t="s">
        <v>3542</v>
      </c>
      <c r="F19" s="625" t="s">
        <v>2372</v>
      </c>
      <c r="G19" s="626"/>
      <c r="H19" s="225">
        <f>IF('CE statale'!H19=0,"",'CE statale'!H19)</f>
        <v>497301.3</v>
      </c>
      <c r="I19" s="225">
        <f>IF('CE statale'!I19=0,"",'CE statale'!I19)</f>
        <v>281043.99</v>
      </c>
      <c r="J19" s="226">
        <f>IF('CE statale'!J19=0,"",'CE statale'!J19)</f>
        <v>216257.31</v>
      </c>
      <c r="K19" s="227">
        <f>IF('CE statale'!K19=0,"",'CE statale'!K19)</f>
        <v>0.76947850761725956</v>
      </c>
      <c r="L19" s="209"/>
      <c r="M19" s="298">
        <f>IF('CE statale'!M19=0,"",'CE statale'!M19)</f>
        <v>93184.89</v>
      </c>
    </row>
    <row r="20" spans="1:13" s="55" customFormat="1">
      <c r="A20" s="209" t="s">
        <v>3544</v>
      </c>
      <c r="B20" s="221"/>
      <c r="C20" s="222"/>
      <c r="D20" s="223"/>
      <c r="E20" s="223"/>
      <c r="F20" s="238" t="s">
        <v>2849</v>
      </c>
      <c r="G20" s="236" t="s">
        <v>2373</v>
      </c>
      <c r="H20" s="233" t="str">
        <f>IF('CE statale'!H20=0,"",'CE statale'!H20)</f>
        <v/>
      </c>
      <c r="I20" s="233" t="str">
        <f>IF('CE statale'!I20=0,"",'CE statale'!I20)</f>
        <v/>
      </c>
      <c r="J20" s="233" t="str">
        <f>IF('CE statale'!J20=0,"",'CE statale'!J20)</f>
        <v/>
      </c>
      <c r="K20" s="239" t="str">
        <f>IF('CE statale'!K20=0,"",'CE statale'!K20)</f>
        <v xml:space="preserve">-    </v>
      </c>
      <c r="L20" s="209"/>
      <c r="M20" s="299" t="str">
        <f>IF('CE statale'!M20=0,"",'CE statale'!M20)</f>
        <v/>
      </c>
    </row>
    <row r="21" spans="1:13" s="55" customFormat="1">
      <c r="A21" s="209" t="s">
        <v>3490</v>
      </c>
      <c r="B21" s="221"/>
      <c r="C21" s="222"/>
      <c r="D21" s="223"/>
      <c r="E21" s="223"/>
      <c r="F21" s="238" t="s">
        <v>2858</v>
      </c>
      <c r="G21" s="236" t="s">
        <v>2374</v>
      </c>
      <c r="H21" s="233">
        <f>IF('CE statale'!H21=0,"",'CE statale'!H21)</f>
        <v>47301.3</v>
      </c>
      <c r="I21" s="233">
        <f>IF('CE statale'!I21=0,"",'CE statale'!I21)</f>
        <v>81043.990000000005</v>
      </c>
      <c r="J21" s="233">
        <f>IF('CE statale'!J21=0,"",'CE statale'!J21)</f>
        <v>-33742.69</v>
      </c>
      <c r="K21" s="239">
        <f>IF('CE statale'!K21=0,"",'CE statale'!K21)</f>
        <v>-0.41635030555627878</v>
      </c>
      <c r="L21" s="209"/>
      <c r="M21" s="299">
        <f>IF('CE statale'!M21=0,"",'CE statale'!M21)</f>
        <v>47301.3</v>
      </c>
    </row>
    <row r="22" spans="1:13" s="55" customFormat="1">
      <c r="A22" s="209" t="s">
        <v>3044</v>
      </c>
      <c r="B22" s="221"/>
      <c r="C22" s="222"/>
      <c r="D22" s="223"/>
      <c r="E22" s="223"/>
      <c r="F22" s="238" t="s">
        <v>2861</v>
      </c>
      <c r="G22" s="236" t="s">
        <v>2375</v>
      </c>
      <c r="H22" s="233">
        <f>IF('CE statale'!H22=0,"",'CE statale'!H22)</f>
        <v>450000</v>
      </c>
      <c r="I22" s="233">
        <f>IF('CE statale'!I22=0,"",'CE statale'!I22)</f>
        <v>200000</v>
      </c>
      <c r="J22" s="233">
        <f>IF('CE statale'!J22=0,"",'CE statale'!J22)</f>
        <v>250000</v>
      </c>
      <c r="K22" s="239">
        <f>IF('CE statale'!K22=0,"",'CE statale'!K22)</f>
        <v>1.25</v>
      </c>
      <c r="L22" s="209"/>
      <c r="M22" s="299">
        <f>IF('CE statale'!M22=0,"",'CE statale'!M22)</f>
        <v>45883.59</v>
      </c>
    </row>
    <row r="23" spans="1:13" s="55" customFormat="1">
      <c r="A23" s="209" t="s">
        <v>3499</v>
      </c>
      <c r="B23" s="221"/>
      <c r="C23" s="222"/>
      <c r="D23" s="223"/>
      <c r="E23" s="223"/>
      <c r="F23" s="238" t="s">
        <v>2864</v>
      </c>
      <c r="G23" s="236" t="s">
        <v>2376</v>
      </c>
      <c r="H23" s="233" t="str">
        <f>IF('CE statale'!H23=0,"",'CE statale'!H23)</f>
        <v/>
      </c>
      <c r="I23" s="233" t="str">
        <f>IF('CE statale'!I23=0,"",'CE statale'!I23)</f>
        <v/>
      </c>
      <c r="J23" s="233" t="str">
        <f>IF('CE statale'!J23=0,"",'CE statale'!J23)</f>
        <v/>
      </c>
      <c r="K23" s="239" t="str">
        <f>IF('CE statale'!K23=0,"",'CE statale'!K23)</f>
        <v xml:space="preserve">-    </v>
      </c>
      <c r="L23" s="209"/>
      <c r="M23" s="299" t="str">
        <f>IF('CE statale'!M23=0,"",'CE statale'!M23)</f>
        <v/>
      </c>
    </row>
    <row r="24" spans="1:13" s="55" customFormat="1">
      <c r="A24" s="209" t="s">
        <v>3549</v>
      </c>
      <c r="B24" s="221"/>
      <c r="C24" s="222"/>
      <c r="D24" s="223"/>
      <c r="E24" s="222" t="s">
        <v>3550</v>
      </c>
      <c r="F24" s="625" t="s">
        <v>2377</v>
      </c>
      <c r="G24" s="626"/>
      <c r="H24" s="225" t="str">
        <f>IF('CE statale'!H24=0,"",'CE statale'!H24)</f>
        <v/>
      </c>
      <c r="I24" s="225" t="str">
        <f>IF('CE statale'!I24=0,"",'CE statale'!I24)</f>
        <v/>
      </c>
      <c r="J24" s="226" t="str">
        <f>IF('CE statale'!J24=0,"",'CE statale'!J24)</f>
        <v/>
      </c>
      <c r="K24" s="227" t="str">
        <f>IF('CE statale'!K24=0,"",'CE statale'!K24)</f>
        <v xml:space="preserve">-    </v>
      </c>
      <c r="L24" s="209"/>
      <c r="M24" s="298" t="str">
        <f>IF('CE statale'!M24=0,"",'CE statale'!M24)</f>
        <v/>
      </c>
    </row>
    <row r="25" spans="1:13" s="79" customFormat="1" ht="30" customHeight="1">
      <c r="A25" s="209" t="s">
        <v>3552</v>
      </c>
      <c r="B25" s="240"/>
      <c r="C25" s="216" t="s">
        <v>2858</v>
      </c>
      <c r="D25" s="628" t="s">
        <v>2378</v>
      </c>
      <c r="E25" s="628"/>
      <c r="F25" s="628"/>
      <c r="G25" s="629"/>
      <c r="H25" s="217" t="str">
        <f>IF('CE statale'!H25=0,"",'CE statale'!H25)</f>
        <v/>
      </c>
      <c r="I25" s="217" t="str">
        <f>IF('CE statale'!I25=0,"",'CE statale'!I25)</f>
        <v/>
      </c>
      <c r="J25" s="218" t="str">
        <f>IF('CE statale'!J25=0,"",'CE statale'!J25)</f>
        <v/>
      </c>
      <c r="K25" s="219" t="str">
        <f>IF('CE statale'!K25=0,"",'CE statale'!K25)</f>
        <v xml:space="preserve">-    </v>
      </c>
      <c r="L25" s="214"/>
      <c r="M25" s="297">
        <f>IF('CE statale'!M25=0,"",'CE statale'!M25)</f>
        <v>-1628.07</v>
      </c>
    </row>
    <row r="26" spans="1:13" s="79" customFormat="1" ht="30" customHeight="1">
      <c r="A26" s="209" t="s">
        <v>3552</v>
      </c>
      <c r="B26" s="240"/>
      <c r="C26" s="216" t="s">
        <v>2861</v>
      </c>
      <c r="D26" s="628" t="s">
        <v>2379</v>
      </c>
      <c r="E26" s="628"/>
      <c r="F26" s="628"/>
      <c r="G26" s="629"/>
      <c r="H26" s="217" t="str">
        <f>IF('CE statale'!H26=0,"",'CE statale'!H26)</f>
        <v/>
      </c>
      <c r="I26" s="217" t="str">
        <f>IF('CE statale'!I26=0,"",'CE statale'!I26)</f>
        <v/>
      </c>
      <c r="J26" s="218" t="str">
        <f>IF('CE statale'!J26=0,"",'CE statale'!J26)</f>
        <v/>
      </c>
      <c r="K26" s="219" t="str">
        <f>IF('CE statale'!K26=0,"",'CE statale'!K26)</f>
        <v xml:space="preserve">-    </v>
      </c>
      <c r="L26" s="214"/>
      <c r="M26" s="297" t="str">
        <f>IF('CE statale'!M26=0,"",'CE statale'!M26)</f>
        <v/>
      </c>
    </row>
    <row r="27" spans="1:13" s="79" customFormat="1" ht="30" customHeight="1">
      <c r="A27" s="209"/>
      <c r="B27" s="215"/>
      <c r="C27" s="216" t="s">
        <v>2864</v>
      </c>
      <c r="D27" s="628" t="s">
        <v>5953</v>
      </c>
      <c r="E27" s="628"/>
      <c r="F27" s="628"/>
      <c r="G27" s="629"/>
      <c r="H27" s="217">
        <f>IF('CE statale'!H27=0,"",'CE statale'!H27)</f>
        <v>63818000</v>
      </c>
      <c r="I27" s="217">
        <f>IF('CE statale'!I27=0,"",'CE statale'!I27)</f>
        <v>62325000</v>
      </c>
      <c r="J27" s="218">
        <f>IF('CE statale'!J27=0,"",'CE statale'!J27)</f>
        <v>1493000</v>
      </c>
      <c r="K27" s="219">
        <f>IF('CE statale'!K27=0,"",'CE statale'!K27)</f>
        <v>2.3955074207781788E-2</v>
      </c>
      <c r="L27" s="214"/>
      <c r="M27" s="297">
        <f>IF('CE statale'!M27=0,"",'CE statale'!M27)</f>
        <v>62686886.729999997</v>
      </c>
    </row>
    <row r="28" spans="1:13" s="55" customFormat="1" ht="30" customHeight="1">
      <c r="A28" s="209" t="s">
        <v>3556</v>
      </c>
      <c r="B28" s="221"/>
      <c r="C28" s="222"/>
      <c r="D28" s="223"/>
      <c r="E28" s="222" t="s">
        <v>2851</v>
      </c>
      <c r="F28" s="625" t="s">
        <v>5954</v>
      </c>
      <c r="G28" s="626"/>
      <c r="H28" s="225">
        <f>IF('CE statale'!H28=0,"",'CE statale'!H28)</f>
        <v>45979000</v>
      </c>
      <c r="I28" s="225">
        <f>IF('CE statale'!I28=0,"",'CE statale'!I28)</f>
        <v>44486000</v>
      </c>
      <c r="J28" s="226">
        <f>IF('CE statale'!J28=0,"",'CE statale'!J28)</f>
        <v>1493000</v>
      </c>
      <c r="K28" s="227">
        <f>IF('CE statale'!K28=0,"",'CE statale'!K28)</f>
        <v>3.3561120352470442E-2</v>
      </c>
      <c r="L28" s="209"/>
      <c r="M28" s="298">
        <f>IF('CE statale'!M28=0,"",'CE statale'!M28)</f>
        <v>44600647.119999997</v>
      </c>
    </row>
    <row r="29" spans="1:13" s="55" customFormat="1" ht="28.5" customHeight="1">
      <c r="A29" s="209" t="s">
        <v>3558</v>
      </c>
      <c r="B29" s="221"/>
      <c r="C29" s="222"/>
      <c r="D29" s="223"/>
      <c r="E29" s="222" t="s">
        <v>2853</v>
      </c>
      <c r="F29" s="625" t="s">
        <v>5956</v>
      </c>
      <c r="G29" s="626"/>
      <c r="H29" s="225">
        <f>IF('CE statale'!H29=0,"",'CE statale'!H29)</f>
        <v>3455000</v>
      </c>
      <c r="I29" s="225">
        <f>IF('CE statale'!I29=0,"",'CE statale'!I29)</f>
        <v>3455000</v>
      </c>
      <c r="J29" s="226" t="str">
        <f>IF('CE statale'!J29=0,"",'CE statale'!J29)</f>
        <v/>
      </c>
      <c r="K29" s="227" t="str">
        <f>IF('CE statale'!K29=0,"",'CE statale'!K29)</f>
        <v/>
      </c>
      <c r="L29" s="209"/>
      <c r="M29" s="298">
        <f>IF('CE statale'!M29=0,"",'CE statale'!M29)</f>
        <v>3519111.9000000004</v>
      </c>
    </row>
    <row r="30" spans="1:13" s="55" customFormat="1" ht="30" customHeight="1">
      <c r="A30" s="209" t="s">
        <v>3560</v>
      </c>
      <c r="B30" s="221"/>
      <c r="C30" s="222"/>
      <c r="D30" s="223"/>
      <c r="E30" s="222" t="s">
        <v>3542</v>
      </c>
      <c r="F30" s="625" t="s">
        <v>5955</v>
      </c>
      <c r="G30" s="626"/>
      <c r="H30" s="225">
        <f>IF('CE statale'!H30=0,"",'CE statale'!H30)</f>
        <v>14384000</v>
      </c>
      <c r="I30" s="225">
        <f>IF('CE statale'!I30=0,"",'CE statale'!I30)</f>
        <v>14384000</v>
      </c>
      <c r="J30" s="226" t="str">
        <f>IF('CE statale'!J30=0,"",'CE statale'!J30)</f>
        <v/>
      </c>
      <c r="K30" s="227" t="str">
        <f>IF('CE statale'!K30=0,"",'CE statale'!K30)</f>
        <v/>
      </c>
      <c r="L30" s="209"/>
      <c r="M30" s="298">
        <f>IF('CE statale'!M30=0,"",'CE statale'!M30)</f>
        <v>14567127.709999999</v>
      </c>
    </row>
    <row r="31" spans="1:13" s="79" customFormat="1">
      <c r="A31" s="209" t="s">
        <v>3562</v>
      </c>
      <c r="B31" s="240"/>
      <c r="C31" s="216" t="s">
        <v>3537</v>
      </c>
      <c r="D31" s="628" t="s">
        <v>2384</v>
      </c>
      <c r="E31" s="628"/>
      <c r="F31" s="628"/>
      <c r="G31" s="629"/>
      <c r="H31" s="217">
        <f>IF('CE statale'!H31=0,"",'CE statale'!H31)</f>
        <v>18485000</v>
      </c>
      <c r="I31" s="217">
        <f>IF('CE statale'!I31=0,"",'CE statale'!I31)</f>
        <v>18485000</v>
      </c>
      <c r="J31" s="218" t="str">
        <f>IF('CE statale'!J31=0,"",'CE statale'!J31)</f>
        <v/>
      </c>
      <c r="K31" s="219" t="str">
        <f>IF('CE statale'!K31=0,"",'CE statale'!K31)</f>
        <v/>
      </c>
      <c r="L31" s="214"/>
      <c r="M31" s="297">
        <f>IF('CE statale'!M31=0,"",'CE statale'!M31)</f>
        <v>22147624.57</v>
      </c>
    </row>
    <row r="32" spans="1:13" s="79" customFormat="1">
      <c r="A32" s="209" t="s">
        <v>3564</v>
      </c>
      <c r="B32" s="240"/>
      <c r="C32" s="216" t="s">
        <v>3540</v>
      </c>
      <c r="D32" s="628" t="s">
        <v>1661</v>
      </c>
      <c r="E32" s="628"/>
      <c r="F32" s="628"/>
      <c r="G32" s="629"/>
      <c r="H32" s="217">
        <f>IF('CE statale'!H32=0,"",'CE statale'!H32)</f>
        <v>20300000</v>
      </c>
      <c r="I32" s="217">
        <f>IF('CE statale'!I32=0,"",'CE statale'!I32)</f>
        <v>20300000</v>
      </c>
      <c r="J32" s="218" t="str">
        <f>IF('CE statale'!J32=0,"",'CE statale'!J32)</f>
        <v/>
      </c>
      <c r="K32" s="219" t="str">
        <f>IF('CE statale'!K32=0,"",'CE statale'!K32)</f>
        <v/>
      </c>
      <c r="L32" s="214"/>
      <c r="M32" s="297">
        <f>IF('CE statale'!M32=0,"",'CE statale'!M32)</f>
        <v>20554351.309999999</v>
      </c>
    </row>
    <row r="33" spans="1:13" s="79" customFormat="1">
      <c r="A33" s="209" t="s">
        <v>3566</v>
      </c>
      <c r="B33" s="240"/>
      <c r="C33" s="216" t="s">
        <v>3567</v>
      </c>
      <c r="D33" s="628" t="s">
        <v>1662</v>
      </c>
      <c r="E33" s="628"/>
      <c r="F33" s="628"/>
      <c r="G33" s="629"/>
      <c r="H33" s="217">
        <f>IF('CE statale'!H33=0,"",'CE statale'!H33)</f>
        <v>25401000</v>
      </c>
      <c r="I33" s="217">
        <f>IF('CE statale'!I33=0,"",'CE statale'!I33)</f>
        <v>25401000</v>
      </c>
      <c r="J33" s="218" t="str">
        <f>IF('CE statale'!J33=0,"",'CE statale'!J33)</f>
        <v/>
      </c>
      <c r="K33" s="219" t="str">
        <f>IF('CE statale'!K33=0,"",'CE statale'!K33)</f>
        <v/>
      </c>
      <c r="L33" s="214"/>
      <c r="M33" s="297">
        <f>IF('CE statale'!M33=0,"",'CE statale'!M33)</f>
        <v>25402235.600000001</v>
      </c>
    </row>
    <row r="34" spans="1:13" s="79" customFormat="1" ht="30" customHeight="1">
      <c r="A34" s="209" t="s">
        <v>3569</v>
      </c>
      <c r="B34" s="240"/>
      <c r="C34" s="216" t="s">
        <v>3570</v>
      </c>
      <c r="D34" s="628" t="s">
        <v>1663</v>
      </c>
      <c r="E34" s="628"/>
      <c r="F34" s="628"/>
      <c r="G34" s="629"/>
      <c r="H34" s="217" t="str">
        <f>IF('CE statale'!H34=0,"",'CE statale'!H34)</f>
        <v/>
      </c>
      <c r="I34" s="217" t="str">
        <f>IF('CE statale'!I34=0,"",'CE statale'!I34)</f>
        <v/>
      </c>
      <c r="J34" s="218" t="str">
        <f>IF('CE statale'!J34=0,"",'CE statale'!J34)</f>
        <v/>
      </c>
      <c r="K34" s="219" t="str">
        <f>IF('CE statale'!K34=0,"",'CE statale'!K34)</f>
        <v xml:space="preserve">-    </v>
      </c>
      <c r="L34" s="214"/>
      <c r="M34" s="297">
        <f>IF('CE statale'!M34=0,"",'CE statale'!M34)</f>
        <v>27185.11</v>
      </c>
    </row>
    <row r="35" spans="1:13" s="79" customFormat="1">
      <c r="A35" s="209" t="s">
        <v>3572</v>
      </c>
      <c r="B35" s="240"/>
      <c r="C35" s="216" t="s">
        <v>3573</v>
      </c>
      <c r="D35" s="628" t="s">
        <v>1664</v>
      </c>
      <c r="E35" s="628"/>
      <c r="F35" s="628"/>
      <c r="G35" s="629"/>
      <c r="H35" s="217">
        <f>IF('CE statale'!H35=0,"",'CE statale'!H35)</f>
        <v>4783600</v>
      </c>
      <c r="I35" s="217">
        <f>IF('CE statale'!I35=0,"",'CE statale'!I35)</f>
        <v>4803600</v>
      </c>
      <c r="J35" s="218">
        <f>IF('CE statale'!J35=0,"",'CE statale'!J35)</f>
        <v>-20000</v>
      </c>
      <c r="K35" s="219">
        <f>IF('CE statale'!K35=0,"",'CE statale'!K35)</f>
        <v>-4.1635440086601715E-3</v>
      </c>
      <c r="L35" s="214"/>
      <c r="M35" s="297">
        <f>IF('CE statale'!M35=0,"",'CE statale'!M35)</f>
        <v>4631908.5199999996</v>
      </c>
    </row>
    <row r="36" spans="1:13" s="79" customFormat="1">
      <c r="A36" s="209"/>
      <c r="B36" s="241"/>
      <c r="C36" s="242" t="s">
        <v>1665</v>
      </c>
      <c r="D36" s="242"/>
      <c r="E36" s="242"/>
      <c r="F36" s="242"/>
      <c r="G36" s="243"/>
      <c r="H36" s="244">
        <f>IF('CE statale'!H36=0,"",'CE statale'!H36)</f>
        <v>1385555542.5699999</v>
      </c>
      <c r="I36" s="244">
        <f>IF('CE statale'!I36=0,"",'CE statale'!I36)</f>
        <v>1369417706.9300001</v>
      </c>
      <c r="J36" s="245">
        <f>IF('CE statale'!J36=0,"",'CE statale'!J36)</f>
        <v>16137835.639999866</v>
      </c>
      <c r="K36" s="246">
        <f>IF('CE statale'!K36=0,"",'CE statale'!K36)</f>
        <v>1.178445083507656E-2</v>
      </c>
      <c r="L36" s="214"/>
      <c r="M36" s="300">
        <f>IF('CE statale'!M36=0,"",'CE statale'!M36)</f>
        <v>1332758153.0100002</v>
      </c>
    </row>
    <row r="37" spans="1:13" s="55" customFormat="1">
      <c r="A37" s="209"/>
      <c r="B37" s="248"/>
      <c r="C37" s="222"/>
      <c r="D37" s="223"/>
      <c r="E37" s="223"/>
      <c r="F37" s="223"/>
      <c r="G37" s="224"/>
      <c r="H37" s="225" t="str">
        <f>IF('CE statale'!H37=0,"",'CE statale'!H37)</f>
        <v/>
      </c>
      <c r="I37" s="225" t="str">
        <f>IF('CE statale'!I37=0,"",'CE statale'!I37)</f>
        <v/>
      </c>
      <c r="J37" s="226" t="str">
        <f>IF('CE statale'!J37=0,"",'CE statale'!J37)</f>
        <v/>
      </c>
      <c r="K37" s="227" t="str">
        <f>IF('CE statale'!K37=0,"",'CE statale'!K37)</f>
        <v/>
      </c>
      <c r="L37" s="209"/>
      <c r="M37" s="298" t="str">
        <f>IF('CE statale'!M37=0,"",'CE statale'!M37)</f>
        <v/>
      </c>
    </row>
    <row r="38" spans="1:13" s="79" customFormat="1">
      <c r="A38" s="209"/>
      <c r="B38" s="215" t="s">
        <v>2135</v>
      </c>
      <c r="C38" s="630" t="s">
        <v>2177</v>
      </c>
      <c r="D38" s="630"/>
      <c r="E38" s="630"/>
      <c r="F38" s="630"/>
      <c r="G38" s="631"/>
      <c r="H38" s="217" t="str">
        <f>IF('CE statale'!H38=0,"",'CE statale'!H38)</f>
        <v/>
      </c>
      <c r="I38" s="217" t="str">
        <f>IF('CE statale'!I38=0,"",'CE statale'!I38)</f>
        <v/>
      </c>
      <c r="J38" s="218" t="str">
        <f>IF('CE statale'!J38=0,"",'CE statale'!J38)</f>
        <v/>
      </c>
      <c r="K38" s="219" t="str">
        <f>IF('CE statale'!K38=0,"",'CE statale'!K38)</f>
        <v/>
      </c>
      <c r="L38" s="214"/>
      <c r="M38" s="297" t="str">
        <f>IF('CE statale'!M38=0,"",'CE statale'!M38)</f>
        <v/>
      </c>
    </row>
    <row r="39" spans="1:13" s="79" customFormat="1">
      <c r="A39" s="209"/>
      <c r="B39" s="240"/>
      <c r="C39" s="216" t="s">
        <v>2849</v>
      </c>
      <c r="D39" s="628" t="s">
        <v>5965</v>
      </c>
      <c r="E39" s="628"/>
      <c r="F39" s="628"/>
      <c r="G39" s="629"/>
      <c r="H39" s="217">
        <f>IF('CE statale'!H39=0,"",'CE statale'!H39)</f>
        <v>209161042.56999999</v>
      </c>
      <c r="I39" s="217">
        <f>IF('CE statale'!I39=0,"",'CE statale'!I39)</f>
        <v>201033500</v>
      </c>
      <c r="J39" s="218">
        <f>IF('CE statale'!J39=0,"",'CE statale'!J39)</f>
        <v>8127542.5699999928</v>
      </c>
      <c r="K39" s="219">
        <f>IF('CE statale'!K39=0,"",'CE statale'!K39)</f>
        <v>4.04287970412891E-2</v>
      </c>
      <c r="L39" s="214"/>
      <c r="M39" s="297">
        <f>IF('CE statale'!M39=0,"",'CE statale'!M39)</f>
        <v>189893103.14000005</v>
      </c>
    </row>
    <row r="40" spans="1:13" s="55" customFormat="1">
      <c r="A40" s="209" t="s">
        <v>2510</v>
      </c>
      <c r="B40" s="221"/>
      <c r="C40" s="222"/>
      <c r="D40" s="223"/>
      <c r="E40" s="222" t="s">
        <v>2851</v>
      </c>
      <c r="F40" s="625" t="s">
        <v>5966</v>
      </c>
      <c r="G40" s="626"/>
      <c r="H40" s="225">
        <f>IF('CE statale'!H40=0,"",'CE statale'!H40)</f>
        <v>190041042.56999999</v>
      </c>
      <c r="I40" s="225">
        <f>IF('CE statale'!I40=0,"",'CE statale'!I40)</f>
        <v>182388500</v>
      </c>
      <c r="J40" s="226">
        <f>IF('CE statale'!J40=0,"",'CE statale'!J40)</f>
        <v>7652542.5699999928</v>
      </c>
      <c r="K40" s="227">
        <f>IF('CE statale'!K40=0,"",'CE statale'!K40)</f>
        <v>4.1957374341035719E-2</v>
      </c>
      <c r="L40" s="209"/>
      <c r="M40" s="298">
        <f>IF('CE statale'!M40=0,"",'CE statale'!M40)</f>
        <v>171947489.75000003</v>
      </c>
    </row>
    <row r="41" spans="1:13" s="55" customFormat="1">
      <c r="A41" s="209" t="s">
        <v>3110</v>
      </c>
      <c r="B41" s="221"/>
      <c r="C41" s="222"/>
      <c r="D41" s="223"/>
      <c r="E41" s="222" t="s">
        <v>2853</v>
      </c>
      <c r="F41" s="625" t="s">
        <v>5967</v>
      </c>
      <c r="G41" s="626"/>
      <c r="H41" s="225">
        <f>IF('CE statale'!H41=0,"",'CE statale'!H41)</f>
        <v>19120000</v>
      </c>
      <c r="I41" s="225">
        <f>IF('CE statale'!I41=0,"",'CE statale'!I41)</f>
        <v>18645000</v>
      </c>
      <c r="J41" s="226">
        <f>IF('CE statale'!J41=0,"",'CE statale'!J41)</f>
        <v>475000</v>
      </c>
      <c r="K41" s="227">
        <f>IF('CE statale'!K41=0,"",'CE statale'!K41)</f>
        <v>2.5475998927326361E-2</v>
      </c>
      <c r="L41" s="209"/>
      <c r="M41" s="298">
        <f>IF('CE statale'!M41=0,"",'CE statale'!M41)</f>
        <v>17945613.390000001</v>
      </c>
    </row>
    <row r="42" spans="1:13" s="79" customFormat="1">
      <c r="A42" s="209"/>
      <c r="B42" s="240"/>
      <c r="C42" s="216" t="s">
        <v>2858</v>
      </c>
      <c r="D42" s="628" t="s">
        <v>5968</v>
      </c>
      <c r="E42" s="628"/>
      <c r="F42" s="628"/>
      <c r="G42" s="629"/>
      <c r="H42" s="217">
        <f>IF('CE statale'!H42=0,"",'CE statale'!H42)</f>
        <v>357006000</v>
      </c>
      <c r="I42" s="217">
        <f>IF('CE statale'!I42=0,"",'CE statale'!I42)</f>
        <v>346270000</v>
      </c>
      <c r="J42" s="218">
        <f>IF('CE statale'!J42=0,"",'CE statale'!J42)</f>
        <v>10736000</v>
      </c>
      <c r="K42" s="219">
        <f>IF('CE statale'!K42=0,"",'CE statale'!K42)</f>
        <v>3.1004707309325093E-2</v>
      </c>
      <c r="L42" s="214"/>
      <c r="M42" s="297">
        <f>IF('CE statale'!M42=0,"",'CE statale'!M42)</f>
        <v>336772440.71000004</v>
      </c>
    </row>
    <row r="43" spans="1:13" s="55" customFormat="1">
      <c r="A43" s="209" t="s">
        <v>2133</v>
      </c>
      <c r="B43" s="248"/>
      <c r="C43" s="222"/>
      <c r="D43" s="223"/>
      <c r="E43" s="222" t="s">
        <v>2851</v>
      </c>
      <c r="F43" s="625" t="s">
        <v>5969</v>
      </c>
      <c r="G43" s="626"/>
      <c r="H43" s="225">
        <f>IF('CE statale'!H43=0,"",'CE statale'!H43)</f>
        <v>65820000</v>
      </c>
      <c r="I43" s="225">
        <f>IF('CE statale'!I43=0,"",'CE statale'!I43)</f>
        <v>65542000</v>
      </c>
      <c r="J43" s="226">
        <f>IF('CE statale'!J43=0,"",'CE statale'!J43)</f>
        <v>278000</v>
      </c>
      <c r="K43" s="227">
        <f>IF('CE statale'!K43=0,"",'CE statale'!K43)</f>
        <v>4.2415550334136886E-3</v>
      </c>
      <c r="L43" s="209"/>
      <c r="M43" s="298">
        <f>IF('CE statale'!M43=0,"",'CE statale'!M43)</f>
        <v>62869563.25999999</v>
      </c>
    </row>
    <row r="44" spans="1:13" s="55" customFormat="1">
      <c r="A44" s="209" t="s">
        <v>1376</v>
      </c>
      <c r="B44" s="248"/>
      <c r="C44" s="222"/>
      <c r="D44" s="223"/>
      <c r="E44" s="222" t="s">
        <v>2853</v>
      </c>
      <c r="F44" s="625" t="s">
        <v>5970</v>
      </c>
      <c r="G44" s="626"/>
      <c r="H44" s="225">
        <f>IF('CE statale'!H44=0,"",'CE statale'!H44)</f>
        <v>45548000</v>
      </c>
      <c r="I44" s="225">
        <f>IF('CE statale'!I44=0,"",'CE statale'!I44)</f>
        <v>45555000</v>
      </c>
      <c r="J44" s="226">
        <f>IF('CE statale'!J44=0,"",'CE statale'!J44)</f>
        <v>-7000</v>
      </c>
      <c r="K44" s="227">
        <f>IF('CE statale'!K44=0,"",'CE statale'!K44)</f>
        <v>-1.5366041049281087E-4</v>
      </c>
      <c r="L44" s="209"/>
      <c r="M44" s="298">
        <f>IF('CE statale'!M44=0,"",'CE statale'!M44)</f>
        <v>46305529.780000001</v>
      </c>
    </row>
    <row r="45" spans="1:13" s="55" customFormat="1" ht="30" customHeight="1">
      <c r="A45" s="209" t="s">
        <v>2604</v>
      </c>
      <c r="B45" s="248"/>
      <c r="C45" s="222"/>
      <c r="D45" s="249"/>
      <c r="E45" s="222" t="s">
        <v>3542</v>
      </c>
      <c r="F45" s="625" t="s">
        <v>5971</v>
      </c>
      <c r="G45" s="626"/>
      <c r="H45" s="225">
        <f>IF('CE statale'!H45=0,"",'CE statale'!H45)</f>
        <v>17553000</v>
      </c>
      <c r="I45" s="225">
        <f>IF('CE statale'!I45=0,"",'CE statale'!I45)</f>
        <v>15234000</v>
      </c>
      <c r="J45" s="226">
        <f>IF('CE statale'!J45=0,"",'CE statale'!J45)</f>
        <v>2319000</v>
      </c>
      <c r="K45" s="227">
        <f>IF('CE statale'!K45=0,"",'CE statale'!K45)</f>
        <v>0.15222528554549036</v>
      </c>
      <c r="L45" s="209"/>
      <c r="M45" s="298">
        <f>IF('CE statale'!M45=0,"",'CE statale'!M45)</f>
        <v>12753148.77</v>
      </c>
    </row>
    <row r="46" spans="1:13" s="55" customFormat="1">
      <c r="A46" s="209" t="s">
        <v>2024</v>
      </c>
      <c r="B46" s="248"/>
      <c r="C46" s="222"/>
      <c r="D46" s="249"/>
      <c r="E46" s="222" t="s">
        <v>3550</v>
      </c>
      <c r="F46" s="625" t="s">
        <v>5972</v>
      </c>
      <c r="G46" s="626"/>
      <c r="H46" s="225">
        <f>IF('CE statale'!H46=0,"",'CE statale'!H46)</f>
        <v>112000</v>
      </c>
      <c r="I46" s="225">
        <f>IF('CE statale'!I46=0,"",'CE statale'!I46)</f>
        <v>112000</v>
      </c>
      <c r="J46" s="226" t="str">
        <f>IF('CE statale'!J46=0,"",'CE statale'!J46)</f>
        <v/>
      </c>
      <c r="K46" s="227" t="str">
        <f>IF('CE statale'!K46=0,"",'CE statale'!K46)</f>
        <v/>
      </c>
      <c r="L46" s="209"/>
      <c r="M46" s="298">
        <f>IF('CE statale'!M46=0,"",'CE statale'!M46)</f>
        <v>98014.1</v>
      </c>
    </row>
    <row r="47" spans="1:13" s="55" customFormat="1">
      <c r="A47" s="209" t="s">
        <v>2074</v>
      </c>
      <c r="B47" s="248"/>
      <c r="C47" s="222"/>
      <c r="D47" s="249"/>
      <c r="E47" s="222" t="s">
        <v>3583</v>
      </c>
      <c r="F47" s="625" t="s">
        <v>5973</v>
      </c>
      <c r="G47" s="626"/>
      <c r="H47" s="225">
        <f>IF('CE statale'!H47=0,"",'CE statale'!H47)</f>
        <v>28559000</v>
      </c>
      <c r="I47" s="225">
        <f>IF('CE statale'!I47=0,"",'CE statale'!I47)</f>
        <v>28018000</v>
      </c>
      <c r="J47" s="226">
        <f>IF('CE statale'!J47=0,"",'CE statale'!J47)</f>
        <v>541000</v>
      </c>
      <c r="K47" s="227">
        <f>IF('CE statale'!K47=0,"",'CE statale'!K47)</f>
        <v>1.9309015632807482E-2</v>
      </c>
      <c r="L47" s="209"/>
      <c r="M47" s="298">
        <f>IF('CE statale'!M47=0,"",'CE statale'!M47)</f>
        <v>27666808.720000003</v>
      </c>
    </row>
    <row r="48" spans="1:13" s="55" customFormat="1">
      <c r="A48" s="209" t="s">
        <v>1951</v>
      </c>
      <c r="B48" s="248"/>
      <c r="C48" s="222"/>
      <c r="D48" s="249"/>
      <c r="E48" s="222" t="s">
        <v>3585</v>
      </c>
      <c r="F48" s="625" t="s">
        <v>5974</v>
      </c>
      <c r="G48" s="626"/>
      <c r="H48" s="225">
        <f>IF('CE statale'!H48=0,"",'CE statale'!H48)</f>
        <v>7786000</v>
      </c>
      <c r="I48" s="225">
        <f>IF('CE statale'!I48=0,"",'CE statale'!I48)</f>
        <v>7431000</v>
      </c>
      <c r="J48" s="226">
        <f>IF('CE statale'!J48=0,"",'CE statale'!J48)</f>
        <v>355000</v>
      </c>
      <c r="K48" s="227">
        <f>IF('CE statale'!K48=0,"",'CE statale'!K48)</f>
        <v>4.7772843493473285E-2</v>
      </c>
      <c r="L48" s="209"/>
      <c r="M48" s="298">
        <f>IF('CE statale'!M48=0,"",'CE statale'!M48)</f>
        <v>6737383.9000000004</v>
      </c>
    </row>
    <row r="49" spans="1:13" s="55" customFormat="1">
      <c r="A49" s="209" t="s">
        <v>1921</v>
      </c>
      <c r="B49" s="248"/>
      <c r="C49" s="222"/>
      <c r="D49" s="249"/>
      <c r="E49" s="222" t="s">
        <v>3587</v>
      </c>
      <c r="F49" s="625" t="s">
        <v>5975</v>
      </c>
      <c r="G49" s="626"/>
      <c r="H49" s="225">
        <f>IF('CE statale'!H49=0,"",'CE statale'!H49)</f>
        <v>49974000</v>
      </c>
      <c r="I49" s="225">
        <f>IF('CE statale'!I49=0,"",'CE statale'!I49)</f>
        <v>48473000</v>
      </c>
      <c r="J49" s="226">
        <f>IF('CE statale'!J49=0,"",'CE statale'!J49)</f>
        <v>1501000</v>
      </c>
      <c r="K49" s="227">
        <f>IF('CE statale'!K49=0,"",'CE statale'!K49)</f>
        <v>3.0965692241041405E-2</v>
      </c>
      <c r="L49" s="209"/>
      <c r="M49" s="298">
        <f>IF('CE statale'!M49=0,"",'CE statale'!M49)</f>
        <v>45779234.760000005</v>
      </c>
    </row>
    <row r="50" spans="1:13" s="80" customFormat="1" ht="30" customHeight="1">
      <c r="A50" s="209" t="s">
        <v>2003</v>
      </c>
      <c r="B50" s="248"/>
      <c r="C50" s="222"/>
      <c r="D50" s="249"/>
      <c r="E50" s="222" t="s">
        <v>3589</v>
      </c>
      <c r="F50" s="625" t="s">
        <v>5976</v>
      </c>
      <c r="G50" s="626"/>
      <c r="H50" s="225">
        <f>IF('CE statale'!H50=0,"",'CE statale'!H50)</f>
        <v>10171000</v>
      </c>
      <c r="I50" s="225">
        <f>IF('CE statale'!I50=0,"",'CE statale'!I50)</f>
        <v>10171000</v>
      </c>
      <c r="J50" s="226" t="str">
        <f>IF('CE statale'!J50=0,"",'CE statale'!J50)</f>
        <v/>
      </c>
      <c r="K50" s="227" t="str">
        <f>IF('CE statale'!K50=0,"",'CE statale'!K50)</f>
        <v/>
      </c>
      <c r="L50" s="209"/>
      <c r="M50" s="298">
        <f>IF('CE statale'!M50=0,"",'CE statale'!M50)</f>
        <v>10052103.300000001</v>
      </c>
    </row>
    <row r="51" spans="1:13" s="55" customFormat="1" ht="30" customHeight="1">
      <c r="A51" s="209" t="s">
        <v>1395</v>
      </c>
      <c r="B51" s="248"/>
      <c r="C51" s="222"/>
      <c r="D51" s="249"/>
      <c r="E51" s="222" t="s">
        <v>3591</v>
      </c>
      <c r="F51" s="625" t="s">
        <v>5977</v>
      </c>
      <c r="G51" s="626"/>
      <c r="H51" s="225">
        <f>IF('CE statale'!H51=0,"",'CE statale'!H51)</f>
        <v>2817000</v>
      </c>
      <c r="I51" s="225">
        <f>IF('CE statale'!I51=0,"",'CE statale'!I51)</f>
        <v>3047000</v>
      </c>
      <c r="J51" s="226">
        <f>IF('CE statale'!J51=0,"",'CE statale'!J51)</f>
        <v>-230000</v>
      </c>
      <c r="K51" s="227">
        <f>IF('CE statale'!K51=0,"",'CE statale'!K51)</f>
        <v>-7.5484082704299307E-2</v>
      </c>
      <c r="L51" s="209"/>
      <c r="M51" s="298">
        <f>IF('CE statale'!M51=0,"",'CE statale'!M51)</f>
        <v>2635819.73</v>
      </c>
    </row>
    <row r="52" spans="1:13" s="55" customFormat="1">
      <c r="A52" s="209" t="s">
        <v>3593</v>
      </c>
      <c r="B52" s="248"/>
      <c r="C52" s="222"/>
      <c r="D52" s="249"/>
      <c r="E52" s="222" t="s">
        <v>3594</v>
      </c>
      <c r="F52" s="625" t="s">
        <v>5978</v>
      </c>
      <c r="G52" s="626"/>
      <c r="H52" s="225">
        <f>IF('CE statale'!H52=0,"",'CE statale'!H52)</f>
        <v>532000</v>
      </c>
      <c r="I52" s="225">
        <f>IF('CE statale'!I52=0,"",'CE statale'!I52)</f>
        <v>707000</v>
      </c>
      <c r="J52" s="226">
        <f>IF('CE statale'!J52=0,"",'CE statale'!J52)</f>
        <v>-175000</v>
      </c>
      <c r="K52" s="227">
        <f>IF('CE statale'!K52=0,"",'CE statale'!K52)</f>
        <v>-0.24752475247524752</v>
      </c>
      <c r="L52" s="209"/>
      <c r="M52" s="298">
        <f>IF('CE statale'!M52=0,"",'CE statale'!M52)</f>
        <v>666963.43999999994</v>
      </c>
    </row>
    <row r="53" spans="1:13" s="55" customFormat="1">
      <c r="A53" s="209" t="s">
        <v>3596</v>
      </c>
      <c r="B53" s="248"/>
      <c r="C53" s="222"/>
      <c r="D53" s="249"/>
      <c r="E53" s="222" t="s">
        <v>3597</v>
      </c>
      <c r="F53" s="625" t="s">
        <v>5979</v>
      </c>
      <c r="G53" s="626"/>
      <c r="H53" s="225">
        <f>IF('CE statale'!H53=0,"",'CE statale'!H53)</f>
        <v>33093000</v>
      </c>
      <c r="I53" s="225">
        <f>IF('CE statale'!I53=0,"",'CE statale'!I53)</f>
        <v>32175000</v>
      </c>
      <c r="J53" s="226">
        <f>IF('CE statale'!J53=0,"",'CE statale'!J53)</f>
        <v>918000</v>
      </c>
      <c r="K53" s="227">
        <f>IF('CE statale'!K53=0,"",'CE statale'!K53)</f>
        <v>2.8531468531468533E-2</v>
      </c>
      <c r="L53" s="209"/>
      <c r="M53" s="298">
        <f>IF('CE statale'!M53=0,"",'CE statale'!M53)</f>
        <v>31408484.32</v>
      </c>
    </row>
    <row r="54" spans="1:13" s="55" customFormat="1" ht="28.5" customHeight="1">
      <c r="A54" s="209" t="s">
        <v>3599</v>
      </c>
      <c r="B54" s="248"/>
      <c r="C54" s="222"/>
      <c r="D54" s="249"/>
      <c r="E54" s="222" t="s">
        <v>3600</v>
      </c>
      <c r="F54" s="625" t="s">
        <v>5980</v>
      </c>
      <c r="G54" s="626"/>
      <c r="H54" s="225">
        <f>IF('CE statale'!H54=0,"",'CE statale'!H54)</f>
        <v>53623000</v>
      </c>
      <c r="I54" s="225">
        <f>IF('CE statale'!I54=0,"",'CE statale'!I54)</f>
        <v>52498000</v>
      </c>
      <c r="J54" s="226">
        <f>IF('CE statale'!J54=0,"",'CE statale'!J54)</f>
        <v>1125000</v>
      </c>
      <c r="K54" s="227">
        <f>IF('CE statale'!K54=0,"",'CE statale'!K54)</f>
        <v>2.1429387786201379E-2</v>
      </c>
      <c r="L54" s="209"/>
      <c r="M54" s="298">
        <f>IF('CE statale'!M54=0,"",'CE statale'!M54)</f>
        <v>50382651.090000018</v>
      </c>
    </row>
    <row r="55" spans="1:13" s="55" customFormat="1" ht="30" customHeight="1">
      <c r="A55" s="209" t="s">
        <v>3602</v>
      </c>
      <c r="B55" s="248"/>
      <c r="C55" s="222"/>
      <c r="D55" s="249"/>
      <c r="E55" s="222" t="s">
        <v>3603</v>
      </c>
      <c r="F55" s="625" t="s">
        <v>1681</v>
      </c>
      <c r="G55" s="626"/>
      <c r="H55" s="225">
        <f>IF('CE statale'!H55=0,"",'CE statale'!H55)</f>
        <v>2532000</v>
      </c>
      <c r="I55" s="225">
        <f>IF('CE statale'!I55=0,"",'CE statale'!I55)</f>
        <v>2532000</v>
      </c>
      <c r="J55" s="226" t="str">
        <f>IF('CE statale'!J55=0,"",'CE statale'!J55)</f>
        <v/>
      </c>
      <c r="K55" s="227" t="str">
        <f>IF('CE statale'!K55=0,"",'CE statale'!K55)</f>
        <v/>
      </c>
      <c r="L55" s="209"/>
      <c r="M55" s="298">
        <f>IF('CE statale'!M55=0,"",'CE statale'!M55)</f>
        <v>2012204.97</v>
      </c>
    </row>
    <row r="56" spans="1:13" s="55" customFormat="1">
      <c r="A56" s="209" t="s">
        <v>3604</v>
      </c>
      <c r="B56" s="248"/>
      <c r="C56" s="222"/>
      <c r="D56" s="249"/>
      <c r="E56" s="222" t="s">
        <v>3605</v>
      </c>
      <c r="F56" s="625" t="s">
        <v>5957</v>
      </c>
      <c r="G56" s="626"/>
      <c r="H56" s="225">
        <f>IF('CE statale'!H56=0,"",'CE statale'!H56)</f>
        <v>5903000</v>
      </c>
      <c r="I56" s="225">
        <f>IF('CE statale'!I56=0,"",'CE statale'!I56)</f>
        <v>5908000</v>
      </c>
      <c r="J56" s="226">
        <f>IF('CE statale'!J56=0,"",'CE statale'!J56)</f>
        <v>-5000</v>
      </c>
      <c r="K56" s="227">
        <f>IF('CE statale'!K56=0,"",'CE statale'!K56)</f>
        <v>-8.463100880162492E-4</v>
      </c>
      <c r="L56" s="209"/>
      <c r="M56" s="298">
        <f>IF('CE statale'!M56=0,"",'CE statale'!M56)</f>
        <v>5723289.1100000003</v>
      </c>
    </row>
    <row r="57" spans="1:13" s="55" customFormat="1" ht="30" customHeight="1">
      <c r="A57" s="209" t="s">
        <v>3607</v>
      </c>
      <c r="B57" s="248"/>
      <c r="C57" s="250"/>
      <c r="D57" s="251"/>
      <c r="E57" s="222" t="s">
        <v>3608</v>
      </c>
      <c r="F57" s="625" t="s">
        <v>5981</v>
      </c>
      <c r="G57" s="626"/>
      <c r="H57" s="225">
        <f>IF('CE statale'!H57=0,"",'CE statale'!H57)</f>
        <v>2451000</v>
      </c>
      <c r="I57" s="225">
        <f>IF('CE statale'!I57=0,"",'CE statale'!I57)</f>
        <v>2412000</v>
      </c>
      <c r="J57" s="226">
        <f>IF('CE statale'!J57=0,"",'CE statale'!J57)</f>
        <v>39000</v>
      </c>
      <c r="K57" s="227">
        <f>IF('CE statale'!K57=0,"",'CE statale'!K57)</f>
        <v>1.6169154228855721E-2</v>
      </c>
      <c r="L57" s="209"/>
      <c r="M57" s="298">
        <f>IF('CE statale'!M57=0,"",'CE statale'!M57)</f>
        <v>2748896.5899999994</v>
      </c>
    </row>
    <row r="58" spans="1:13" s="55" customFormat="1" ht="30" customHeight="1">
      <c r="A58" s="209" t="s">
        <v>2869</v>
      </c>
      <c r="B58" s="248"/>
      <c r="C58" s="250"/>
      <c r="D58" s="251"/>
      <c r="E58" s="222" t="s">
        <v>2870</v>
      </c>
      <c r="F58" s="625" t="s">
        <v>5982</v>
      </c>
      <c r="G58" s="626"/>
      <c r="H58" s="225">
        <f>IF('CE statale'!H58=0,"",'CE statale'!H58)</f>
        <v>30532000</v>
      </c>
      <c r="I58" s="225">
        <f>IF('CE statale'!I58=0,"",'CE statale'!I58)</f>
        <v>26455000</v>
      </c>
      <c r="J58" s="226">
        <f>IF('CE statale'!J58=0,"",'CE statale'!J58)</f>
        <v>4077000</v>
      </c>
      <c r="K58" s="227">
        <f>IF('CE statale'!K58=0,"",'CE statale'!K58)</f>
        <v>0.15411075411075412</v>
      </c>
      <c r="L58" s="209"/>
      <c r="M58" s="298">
        <f>IF('CE statale'!M58=0,"",'CE statale'!M58)</f>
        <v>28932344.870000001</v>
      </c>
    </row>
    <row r="59" spans="1:13" s="55" customFormat="1">
      <c r="A59" s="209" t="s">
        <v>2872</v>
      </c>
      <c r="B59" s="248"/>
      <c r="C59" s="250"/>
      <c r="D59" s="251"/>
      <c r="E59" s="222" t="s">
        <v>2873</v>
      </c>
      <c r="F59" s="625" t="s">
        <v>1685</v>
      </c>
      <c r="G59" s="626"/>
      <c r="H59" s="225" t="str">
        <f>IF('CE statale'!H59=0,"",'CE statale'!H59)</f>
        <v/>
      </c>
      <c r="I59" s="225" t="str">
        <f>IF('CE statale'!I59=0,"",'CE statale'!I59)</f>
        <v/>
      </c>
      <c r="J59" s="226" t="str">
        <f>IF('CE statale'!J59=0,"",'CE statale'!J59)</f>
        <v/>
      </c>
      <c r="K59" s="227" t="str">
        <f>IF('CE statale'!K59=0,"",'CE statale'!K59)</f>
        <v xml:space="preserve">-    </v>
      </c>
      <c r="L59" s="209"/>
      <c r="M59" s="298" t="str">
        <f>IF('CE statale'!M59=0,"",'CE statale'!M59)</f>
        <v/>
      </c>
    </row>
    <row r="60" spans="1:13" s="55" customFormat="1">
      <c r="A60" s="209"/>
      <c r="B60" s="248"/>
      <c r="C60" s="216" t="s">
        <v>2861</v>
      </c>
      <c r="D60" s="628" t="s">
        <v>5958</v>
      </c>
      <c r="E60" s="628"/>
      <c r="F60" s="628"/>
      <c r="G60" s="629"/>
      <c r="H60" s="217">
        <f>IF('CE statale'!H60=0,"",'CE statale'!H60)</f>
        <v>69865500</v>
      </c>
      <c r="I60" s="217">
        <f>IF('CE statale'!I60=0,"",'CE statale'!I60)</f>
        <v>67175000</v>
      </c>
      <c r="J60" s="218">
        <f>IF('CE statale'!J60=0,"",'CE statale'!J60)</f>
        <v>2690500</v>
      </c>
      <c r="K60" s="219">
        <f>IF('CE statale'!K60=0,"",'CE statale'!K60)</f>
        <v>4.005210271678452E-2</v>
      </c>
      <c r="L60" s="209"/>
      <c r="M60" s="297">
        <f>IF('CE statale'!M60=0,"",'CE statale'!M60)</f>
        <v>64452956.669999987</v>
      </c>
    </row>
    <row r="61" spans="1:13" s="55" customFormat="1">
      <c r="A61" s="209" t="s">
        <v>2876</v>
      </c>
      <c r="B61" s="248"/>
      <c r="C61" s="216"/>
      <c r="D61" s="252"/>
      <c r="E61" s="222" t="s">
        <v>2851</v>
      </c>
      <c r="F61" s="625" t="s">
        <v>5959</v>
      </c>
      <c r="G61" s="626"/>
      <c r="H61" s="225">
        <f>IF('CE statale'!H61=0,"",'CE statale'!H61)</f>
        <v>66205500</v>
      </c>
      <c r="I61" s="225">
        <f>IF('CE statale'!I61=0,"",'CE statale'!I61)</f>
        <v>63535000</v>
      </c>
      <c r="J61" s="226">
        <f>IF('CE statale'!J61=0,"",'CE statale'!J61)</f>
        <v>2670500</v>
      </c>
      <c r="K61" s="227">
        <f>IF('CE statale'!K61=0,"",'CE statale'!K61)</f>
        <v>4.2031950893208471E-2</v>
      </c>
      <c r="L61" s="209"/>
      <c r="M61" s="298">
        <f>IF('CE statale'!M61=0,"",'CE statale'!M61)</f>
        <v>60874003.819999993</v>
      </c>
    </row>
    <row r="62" spans="1:13" s="55" customFormat="1" ht="30" customHeight="1">
      <c r="A62" s="209" t="s">
        <v>2878</v>
      </c>
      <c r="B62" s="248"/>
      <c r="C62" s="253"/>
      <c r="D62" s="222"/>
      <c r="E62" s="222" t="s">
        <v>2853</v>
      </c>
      <c r="F62" s="625" t="s">
        <v>5960</v>
      </c>
      <c r="G62" s="626"/>
      <c r="H62" s="225">
        <f>IF('CE statale'!H62=0,"",'CE statale'!H62)</f>
        <v>321000</v>
      </c>
      <c r="I62" s="225">
        <f>IF('CE statale'!I62=0,"",'CE statale'!I62)</f>
        <v>301000</v>
      </c>
      <c r="J62" s="226">
        <f>IF('CE statale'!J62=0,"",'CE statale'!J62)</f>
        <v>20000</v>
      </c>
      <c r="K62" s="227">
        <f>IF('CE statale'!K62=0,"",'CE statale'!K62)</f>
        <v>6.6445182724252497E-2</v>
      </c>
      <c r="L62" s="209"/>
      <c r="M62" s="298">
        <f>IF('CE statale'!M62=0,"",'CE statale'!M62)</f>
        <v>239480.94</v>
      </c>
    </row>
    <row r="63" spans="1:13" s="55" customFormat="1">
      <c r="A63" s="209" t="s">
        <v>2880</v>
      </c>
      <c r="B63" s="248"/>
      <c r="C63" s="253"/>
      <c r="D63" s="222"/>
      <c r="E63" s="222" t="s">
        <v>3542</v>
      </c>
      <c r="F63" s="625" t="s">
        <v>1689</v>
      </c>
      <c r="G63" s="626"/>
      <c r="H63" s="225">
        <f>IF('CE statale'!H63=0,"",'CE statale'!H63)</f>
        <v>3339000</v>
      </c>
      <c r="I63" s="225">
        <f>IF('CE statale'!I63=0,"",'CE statale'!I63)</f>
        <v>3339000</v>
      </c>
      <c r="J63" s="226" t="str">
        <f>IF('CE statale'!J63=0,"",'CE statale'!J63)</f>
        <v/>
      </c>
      <c r="K63" s="227" t="str">
        <f>IF('CE statale'!K63=0,"",'CE statale'!K63)</f>
        <v/>
      </c>
      <c r="L63" s="209"/>
      <c r="M63" s="298">
        <f>IF('CE statale'!M63=0,"",'CE statale'!M63)</f>
        <v>3339471.91</v>
      </c>
    </row>
    <row r="64" spans="1:13" s="55" customFormat="1">
      <c r="A64" s="209" t="s">
        <v>2882</v>
      </c>
      <c r="B64" s="248"/>
      <c r="C64" s="216" t="s">
        <v>2864</v>
      </c>
      <c r="D64" s="628" t="s">
        <v>1690</v>
      </c>
      <c r="E64" s="628"/>
      <c r="F64" s="628"/>
      <c r="G64" s="629"/>
      <c r="H64" s="217">
        <f>IF('CE statale'!H64=0,"",'CE statale'!H64)</f>
        <v>24576000</v>
      </c>
      <c r="I64" s="217">
        <f>IF('CE statale'!I64=0,"",'CE statale'!I64)</f>
        <v>23450000</v>
      </c>
      <c r="J64" s="218">
        <f>IF('CE statale'!J64=0,"",'CE statale'!J64)</f>
        <v>1126000</v>
      </c>
      <c r="K64" s="219">
        <f>IF('CE statale'!K64=0,"",'CE statale'!K64)</f>
        <v>4.8017057569296376E-2</v>
      </c>
      <c r="L64" s="209"/>
      <c r="M64" s="297">
        <f>IF('CE statale'!M64=0,"",'CE statale'!M64)</f>
        <v>22081182.43</v>
      </c>
    </row>
    <row r="65" spans="1:13" s="79" customFormat="1">
      <c r="A65" s="209" t="s">
        <v>2715</v>
      </c>
      <c r="B65" s="248"/>
      <c r="C65" s="216" t="s">
        <v>3537</v>
      </c>
      <c r="D65" s="628" t="s">
        <v>1473</v>
      </c>
      <c r="E65" s="628"/>
      <c r="F65" s="628"/>
      <c r="G65" s="629"/>
      <c r="H65" s="217">
        <f>IF('CE statale'!H65=0,"",'CE statale'!H65)</f>
        <v>10024000</v>
      </c>
      <c r="I65" s="217">
        <f>IF('CE statale'!I65=0,"",'CE statale'!I65)</f>
        <v>9144000</v>
      </c>
      <c r="J65" s="218">
        <f>IF('CE statale'!J65=0,"",'CE statale'!J65)</f>
        <v>880000</v>
      </c>
      <c r="K65" s="219">
        <f>IF('CE statale'!K65=0,"",'CE statale'!K65)</f>
        <v>9.6237970253718289E-2</v>
      </c>
      <c r="L65" s="214"/>
      <c r="M65" s="297">
        <f>IF('CE statale'!M65=0,"",'CE statale'!M65)</f>
        <v>9338326.1600000001</v>
      </c>
    </row>
    <row r="66" spans="1:13" s="79" customFormat="1">
      <c r="A66" s="209"/>
      <c r="B66" s="248"/>
      <c r="C66" s="216" t="s">
        <v>3540</v>
      </c>
      <c r="D66" s="628" t="s">
        <v>1475</v>
      </c>
      <c r="E66" s="628"/>
      <c r="F66" s="628"/>
      <c r="G66" s="629"/>
      <c r="H66" s="217">
        <f>IF('CE statale'!H66=0,"",'CE statale'!H66)</f>
        <v>638988000</v>
      </c>
      <c r="I66" s="217">
        <f>IF('CE statale'!I66=0,"",'CE statale'!I66)</f>
        <v>627600000</v>
      </c>
      <c r="J66" s="218">
        <f>IF('CE statale'!J66=0,"",'CE statale'!J66)</f>
        <v>11388000</v>
      </c>
      <c r="K66" s="219">
        <f>IF('CE statale'!K66=0,"",'CE statale'!K66)</f>
        <v>1.81453154875717E-2</v>
      </c>
      <c r="L66" s="214"/>
      <c r="M66" s="297">
        <f>IF('CE statale'!M66=0,"",'CE statale'!M66)</f>
        <v>619511404.56999993</v>
      </c>
    </row>
    <row r="67" spans="1:13" s="55" customFormat="1">
      <c r="A67" s="209" t="s">
        <v>1008</v>
      </c>
      <c r="B67" s="248"/>
      <c r="C67" s="222"/>
      <c r="D67" s="254"/>
      <c r="E67" s="222" t="s">
        <v>2851</v>
      </c>
      <c r="F67" s="625" t="s">
        <v>1691</v>
      </c>
      <c r="G67" s="626"/>
      <c r="H67" s="225">
        <f>IF('CE statale'!H67=0,"",'CE statale'!H67)</f>
        <v>223621000</v>
      </c>
      <c r="I67" s="225">
        <f>IF('CE statale'!I67=0,"",'CE statale'!I67)</f>
        <v>219904000</v>
      </c>
      <c r="J67" s="226">
        <f>IF('CE statale'!J67=0,"",'CE statale'!J67)</f>
        <v>3717000</v>
      </c>
      <c r="K67" s="227">
        <f>IF('CE statale'!K67=0,"",'CE statale'!K67)</f>
        <v>1.6902830325960419E-2</v>
      </c>
      <c r="L67" s="209"/>
      <c r="M67" s="298">
        <f>IF('CE statale'!M67=0,"",'CE statale'!M67)</f>
        <v>213860302.35000002</v>
      </c>
    </row>
    <row r="68" spans="1:13" s="55" customFormat="1">
      <c r="A68" s="209" t="s">
        <v>1031</v>
      </c>
      <c r="B68" s="248"/>
      <c r="C68" s="222"/>
      <c r="D68" s="254"/>
      <c r="E68" s="222" t="s">
        <v>2853</v>
      </c>
      <c r="F68" s="625" t="s">
        <v>1692</v>
      </c>
      <c r="G68" s="626"/>
      <c r="H68" s="225">
        <f>IF('CE statale'!H68=0,"",'CE statale'!H68)</f>
        <v>31580000</v>
      </c>
      <c r="I68" s="225">
        <f>IF('CE statale'!I68=0,"",'CE statale'!I68)</f>
        <v>30921000</v>
      </c>
      <c r="J68" s="226">
        <f>IF('CE statale'!J68=0,"",'CE statale'!J68)</f>
        <v>659000</v>
      </c>
      <c r="K68" s="227">
        <f>IF('CE statale'!K68=0,"",'CE statale'!K68)</f>
        <v>2.1312376701917792E-2</v>
      </c>
      <c r="L68" s="209"/>
      <c r="M68" s="298">
        <f>IF('CE statale'!M68=0,"",'CE statale'!M68)</f>
        <v>29554009.040000003</v>
      </c>
    </row>
    <row r="69" spans="1:13" s="55" customFormat="1">
      <c r="A69" s="209" t="s">
        <v>1063</v>
      </c>
      <c r="B69" s="248"/>
      <c r="C69" s="222"/>
      <c r="D69" s="254"/>
      <c r="E69" s="222" t="s">
        <v>3542</v>
      </c>
      <c r="F69" s="625" t="s">
        <v>2388</v>
      </c>
      <c r="G69" s="626"/>
      <c r="H69" s="225">
        <f>IF('CE statale'!H69=0,"",'CE statale'!H69)</f>
        <v>243780000</v>
      </c>
      <c r="I69" s="225">
        <f>IF('CE statale'!I69=0,"",'CE statale'!I69)</f>
        <v>239387000</v>
      </c>
      <c r="J69" s="226">
        <f>IF('CE statale'!J69=0,"",'CE statale'!J69)</f>
        <v>4393000</v>
      </c>
      <c r="K69" s="227">
        <f>IF('CE statale'!K69=0,"",'CE statale'!K69)</f>
        <v>1.8351038276932331E-2</v>
      </c>
      <c r="L69" s="209"/>
      <c r="M69" s="298">
        <f>IF('CE statale'!M69=0,"",'CE statale'!M69)</f>
        <v>239292462.52999994</v>
      </c>
    </row>
    <row r="70" spans="1:13" s="55" customFormat="1">
      <c r="A70" s="209" t="s">
        <v>208</v>
      </c>
      <c r="B70" s="248"/>
      <c r="C70" s="222"/>
      <c r="D70" s="254"/>
      <c r="E70" s="222" t="s">
        <v>3550</v>
      </c>
      <c r="F70" s="625" t="s">
        <v>2389</v>
      </c>
      <c r="G70" s="626"/>
      <c r="H70" s="225">
        <f>IF('CE statale'!H70=0,"",'CE statale'!H70)</f>
        <v>9309000</v>
      </c>
      <c r="I70" s="225">
        <f>IF('CE statale'!I70=0,"",'CE statale'!I70)</f>
        <v>9254000</v>
      </c>
      <c r="J70" s="226">
        <f>IF('CE statale'!J70=0,"",'CE statale'!J70)</f>
        <v>55000</v>
      </c>
      <c r="K70" s="227">
        <f>IF('CE statale'!K70=0,"",'CE statale'!K70)</f>
        <v>5.9433758374756859E-3</v>
      </c>
      <c r="L70" s="209"/>
      <c r="M70" s="298">
        <f>IF('CE statale'!M70=0,"",'CE statale'!M70)</f>
        <v>8991652.7100000009</v>
      </c>
    </row>
    <row r="71" spans="1:13" s="55" customFormat="1">
      <c r="A71" s="209" t="s">
        <v>2888</v>
      </c>
      <c r="B71" s="248"/>
      <c r="C71" s="222"/>
      <c r="D71" s="254"/>
      <c r="E71" s="222" t="s">
        <v>3583</v>
      </c>
      <c r="F71" s="625" t="s">
        <v>2390</v>
      </c>
      <c r="G71" s="626"/>
      <c r="H71" s="225">
        <f>IF('CE statale'!H71=0,"",'CE statale'!H71)</f>
        <v>130698000</v>
      </c>
      <c r="I71" s="225">
        <f>IF('CE statale'!I71=0,"",'CE statale'!I71)</f>
        <v>128134000</v>
      </c>
      <c r="J71" s="226">
        <f>IF('CE statale'!J71=0,"",'CE statale'!J71)</f>
        <v>2564000</v>
      </c>
      <c r="K71" s="227">
        <f>IF('CE statale'!K71=0,"",'CE statale'!K71)</f>
        <v>2.0010301715391698E-2</v>
      </c>
      <c r="L71" s="209"/>
      <c r="M71" s="298">
        <f>IF('CE statale'!M71=0,"",'CE statale'!M71)</f>
        <v>127812977.93999994</v>
      </c>
    </row>
    <row r="72" spans="1:13" s="55" customFormat="1">
      <c r="A72" s="209" t="s">
        <v>196</v>
      </c>
      <c r="B72" s="248"/>
      <c r="C72" s="216" t="s">
        <v>3567</v>
      </c>
      <c r="D72" s="628" t="s">
        <v>2391</v>
      </c>
      <c r="E72" s="628"/>
      <c r="F72" s="628"/>
      <c r="G72" s="629"/>
      <c r="H72" s="217">
        <f>IF('CE statale'!H72=0,"",'CE statale'!H72)</f>
        <v>3526500</v>
      </c>
      <c r="I72" s="217">
        <f>IF('CE statale'!I72=0,"",'CE statale'!I72)</f>
        <v>3443000</v>
      </c>
      <c r="J72" s="218">
        <f>IF('CE statale'!J72=0,"",'CE statale'!J72)</f>
        <v>83500</v>
      </c>
      <c r="K72" s="219">
        <f>IF('CE statale'!K72=0,"",'CE statale'!K72)</f>
        <v>2.4252105721754284E-2</v>
      </c>
      <c r="L72" s="209"/>
      <c r="M72" s="297">
        <f>IF('CE statale'!M72=0,"",'CE statale'!M72)</f>
        <v>3413737.72</v>
      </c>
    </row>
    <row r="73" spans="1:13" s="79" customFormat="1">
      <c r="A73" s="209"/>
      <c r="B73" s="248"/>
      <c r="C73" s="216" t="s">
        <v>3570</v>
      </c>
      <c r="D73" s="628" t="s">
        <v>975</v>
      </c>
      <c r="E73" s="628"/>
      <c r="F73" s="628"/>
      <c r="G73" s="629"/>
      <c r="H73" s="217">
        <f>IF('CE statale'!H73=0,"",'CE statale'!H73)</f>
        <v>26864000</v>
      </c>
      <c r="I73" s="217">
        <f>IF('CE statale'!I73=0,"",'CE statale'!I73)</f>
        <v>26064000</v>
      </c>
      <c r="J73" s="218">
        <f>IF('CE statale'!J73=0,"",'CE statale'!J73)</f>
        <v>800000</v>
      </c>
      <c r="K73" s="219">
        <f>IF('CE statale'!K73=0,"",'CE statale'!K73)</f>
        <v>3.0693677102516883E-2</v>
      </c>
      <c r="L73" s="214"/>
      <c r="M73" s="297">
        <f>IF('CE statale'!M73=0,"",'CE statale'!M73)</f>
        <v>26062872</v>
      </c>
    </row>
    <row r="74" spans="1:13" s="55" customFormat="1">
      <c r="A74" s="209" t="s">
        <v>2891</v>
      </c>
      <c r="B74" s="248"/>
      <c r="C74" s="222"/>
      <c r="D74" s="254"/>
      <c r="E74" s="222" t="s">
        <v>2851</v>
      </c>
      <c r="F74" s="625" t="s">
        <v>2392</v>
      </c>
      <c r="G74" s="626"/>
      <c r="H74" s="225">
        <f>IF('CE statale'!H74=0,"",'CE statale'!H74)</f>
        <v>11144000</v>
      </c>
      <c r="I74" s="225">
        <f>IF('CE statale'!I74=0,"",'CE statale'!I74)</f>
        <v>10344000</v>
      </c>
      <c r="J74" s="226">
        <f>IF('CE statale'!J74=0,"",'CE statale'!J74)</f>
        <v>800000</v>
      </c>
      <c r="K74" s="227">
        <f>IF('CE statale'!K74=0,"",'CE statale'!K74)</f>
        <v>7.7339520494972933E-2</v>
      </c>
      <c r="L74" s="209"/>
      <c r="M74" s="298">
        <f>IF('CE statale'!M74=0,"",'CE statale'!M74)</f>
        <v>10343209.210000001</v>
      </c>
    </row>
    <row r="75" spans="1:13" s="79" customFormat="1">
      <c r="A75" s="209" t="s">
        <v>2893</v>
      </c>
      <c r="B75" s="240"/>
      <c r="C75" s="216"/>
      <c r="D75" s="256"/>
      <c r="E75" s="222" t="s">
        <v>2853</v>
      </c>
      <c r="F75" s="625" t="s">
        <v>2393</v>
      </c>
      <c r="G75" s="626"/>
      <c r="H75" s="217" t="str">
        <f>IF('CE statale'!H75=0,"",'CE statale'!H75)</f>
        <v/>
      </c>
      <c r="I75" s="217" t="str">
        <f>IF('CE statale'!I75=0,"",'CE statale'!I75)</f>
        <v/>
      </c>
      <c r="J75" s="218" t="str">
        <f>IF('CE statale'!J75=0,"",'CE statale'!J75)</f>
        <v/>
      </c>
      <c r="K75" s="219" t="str">
        <f>IF('CE statale'!K75=0,"",'CE statale'!K75)</f>
        <v xml:space="preserve">-    </v>
      </c>
      <c r="L75" s="214"/>
      <c r="M75" s="297" t="str">
        <f>IF('CE statale'!M75=0,"",'CE statale'!M75)</f>
        <v/>
      </c>
    </row>
    <row r="76" spans="1:13" s="79" customFormat="1">
      <c r="A76" s="209" t="s">
        <v>2895</v>
      </c>
      <c r="B76" s="240"/>
      <c r="C76" s="216"/>
      <c r="D76" s="256"/>
      <c r="E76" s="222" t="s">
        <v>3542</v>
      </c>
      <c r="F76" s="625" t="s">
        <v>2394</v>
      </c>
      <c r="G76" s="626"/>
      <c r="H76" s="225">
        <f>IF('CE statale'!H76=0,"",'CE statale'!H76)</f>
        <v>15720000</v>
      </c>
      <c r="I76" s="225">
        <f>IF('CE statale'!I76=0,"",'CE statale'!I76)</f>
        <v>15720000</v>
      </c>
      <c r="J76" s="226" t="str">
        <f>IF('CE statale'!J76=0,"",'CE statale'!J76)</f>
        <v/>
      </c>
      <c r="K76" s="227" t="str">
        <f>IF('CE statale'!K76=0,"",'CE statale'!K76)</f>
        <v/>
      </c>
      <c r="L76" s="214"/>
      <c r="M76" s="298">
        <f>IF('CE statale'!M76=0,"",'CE statale'!M76)</f>
        <v>15719662.789999999</v>
      </c>
    </row>
    <row r="77" spans="1:13" s="79" customFormat="1">
      <c r="A77" s="209" t="s">
        <v>1073</v>
      </c>
      <c r="B77" s="240"/>
      <c r="C77" s="216" t="s">
        <v>3573</v>
      </c>
      <c r="D77" s="628" t="s">
        <v>2395</v>
      </c>
      <c r="E77" s="628"/>
      <c r="F77" s="628"/>
      <c r="G77" s="629"/>
      <c r="H77" s="217">
        <f>IF('CE statale'!H77=0,"",'CE statale'!H77)</f>
        <v>1050000</v>
      </c>
      <c r="I77" s="217">
        <f>IF('CE statale'!I77=0,"",'CE statale'!I77)</f>
        <v>1050000</v>
      </c>
      <c r="J77" s="218" t="str">
        <f>IF('CE statale'!J77=0,"",'CE statale'!J77)</f>
        <v/>
      </c>
      <c r="K77" s="219" t="str">
        <f>IF('CE statale'!K77=0,"",'CE statale'!K77)</f>
        <v/>
      </c>
      <c r="L77" s="214"/>
      <c r="M77" s="297">
        <f>IF('CE statale'!M77=0,"",'CE statale'!M77)</f>
        <v>965046.87</v>
      </c>
    </row>
    <row r="78" spans="1:13" s="79" customFormat="1">
      <c r="A78" s="209"/>
      <c r="B78" s="240"/>
      <c r="C78" s="216" t="s">
        <v>2897</v>
      </c>
      <c r="D78" s="628" t="s">
        <v>1477</v>
      </c>
      <c r="E78" s="628"/>
      <c r="F78" s="628"/>
      <c r="G78" s="629"/>
      <c r="H78" s="217">
        <f>IF('CE statale'!H78=0,"",'CE statale'!H78)</f>
        <v>155000</v>
      </c>
      <c r="I78" s="217">
        <f>IF('CE statale'!I78=0,"",'CE statale'!I78)</f>
        <v>155000</v>
      </c>
      <c r="J78" s="218" t="str">
        <f>IF('CE statale'!J78=0,"",'CE statale'!J78)</f>
        <v/>
      </c>
      <c r="K78" s="219" t="str">
        <f>IF('CE statale'!K78=0,"",'CE statale'!K78)</f>
        <v/>
      </c>
      <c r="L78" s="214"/>
      <c r="M78" s="297">
        <f>IF('CE statale'!M78=0,"",'CE statale'!M78)</f>
        <v>-1871889.1600000001</v>
      </c>
    </row>
    <row r="79" spans="1:13" s="55" customFormat="1">
      <c r="A79" s="209" t="s">
        <v>2898</v>
      </c>
      <c r="B79" s="257"/>
      <c r="C79" s="250"/>
      <c r="D79" s="254"/>
      <c r="E79" s="222" t="s">
        <v>2851</v>
      </c>
      <c r="F79" s="625" t="s">
        <v>5961</v>
      </c>
      <c r="G79" s="626"/>
      <c r="H79" s="225">
        <f>IF('CE statale'!H79=0,"",'CE statale'!H79)</f>
        <v>110000</v>
      </c>
      <c r="I79" s="225">
        <f>IF('CE statale'!I79=0,"",'CE statale'!I79)</f>
        <v>110000</v>
      </c>
      <c r="J79" s="226" t="str">
        <f>IF('CE statale'!J79=0,"",'CE statale'!J79)</f>
        <v/>
      </c>
      <c r="K79" s="227" t="str">
        <f>IF('CE statale'!K79=0,"",'CE statale'!K79)</f>
        <v/>
      </c>
      <c r="L79" s="209"/>
      <c r="M79" s="298">
        <f>IF('CE statale'!M79=0,"",'CE statale'!M79)</f>
        <v>-1880572.1600000001</v>
      </c>
    </row>
    <row r="80" spans="1:13" s="55" customFormat="1">
      <c r="A80" s="209" t="s">
        <v>2900</v>
      </c>
      <c r="B80" s="257"/>
      <c r="C80" s="250"/>
      <c r="D80" s="254"/>
      <c r="E80" s="222" t="s">
        <v>2853</v>
      </c>
      <c r="F80" s="625" t="s">
        <v>5962</v>
      </c>
      <c r="G80" s="626"/>
      <c r="H80" s="225">
        <f>IF('CE statale'!H80=0,"",'CE statale'!H80)</f>
        <v>45000</v>
      </c>
      <c r="I80" s="225">
        <f>IF('CE statale'!I80=0,"",'CE statale'!I80)</f>
        <v>45000</v>
      </c>
      <c r="J80" s="226" t="str">
        <f>IF('CE statale'!J80=0,"",'CE statale'!J80)</f>
        <v/>
      </c>
      <c r="K80" s="227" t="str">
        <f>IF('CE statale'!K80=0,"",'CE statale'!K80)</f>
        <v/>
      </c>
      <c r="L80" s="209"/>
      <c r="M80" s="298">
        <f>IF('CE statale'!M80=0,"",'CE statale'!M80)</f>
        <v>8682.9999999999927</v>
      </c>
    </row>
    <row r="81" spans="1:13" s="79" customFormat="1">
      <c r="A81" s="209"/>
      <c r="B81" s="257"/>
      <c r="C81" s="216" t="s">
        <v>2902</v>
      </c>
      <c r="D81" s="628" t="s">
        <v>2398</v>
      </c>
      <c r="E81" s="628"/>
      <c r="F81" s="628"/>
      <c r="G81" s="629"/>
      <c r="H81" s="217">
        <f>IF('CE statale'!H81=0,"",'CE statale'!H81)</f>
        <v>8722000</v>
      </c>
      <c r="I81" s="217">
        <f>IF('CE statale'!I81=0,"",'CE statale'!I81)</f>
        <v>8722000</v>
      </c>
      <c r="J81" s="218" t="str">
        <f>IF('CE statale'!J81=0,"",'CE statale'!J81)</f>
        <v/>
      </c>
      <c r="K81" s="219" t="str">
        <f>IF('CE statale'!K81=0,"",'CE statale'!K81)</f>
        <v/>
      </c>
      <c r="L81" s="214"/>
      <c r="M81" s="297">
        <f>IF('CE statale'!M81=0,"",'CE statale'!M81)</f>
        <v>11300394.59</v>
      </c>
    </row>
    <row r="82" spans="1:13" s="55" customFormat="1">
      <c r="A82" s="209" t="s">
        <v>2904</v>
      </c>
      <c r="B82" s="257"/>
      <c r="C82" s="250"/>
      <c r="D82" s="254"/>
      <c r="E82" s="222" t="s">
        <v>2851</v>
      </c>
      <c r="F82" s="625" t="s">
        <v>1479</v>
      </c>
      <c r="G82" s="626"/>
      <c r="H82" s="225">
        <f>IF('CE statale'!H82=0,"",'CE statale'!H82)</f>
        <v>228000</v>
      </c>
      <c r="I82" s="225">
        <f>IF('CE statale'!I82=0,"",'CE statale'!I82)</f>
        <v>228000</v>
      </c>
      <c r="J82" s="226" t="str">
        <f>IF('CE statale'!J82=0,"",'CE statale'!J82)</f>
        <v/>
      </c>
      <c r="K82" s="227" t="str">
        <f>IF('CE statale'!K82=0,"",'CE statale'!K82)</f>
        <v/>
      </c>
      <c r="L82" s="209"/>
      <c r="M82" s="298">
        <f>IF('CE statale'!M82=0,"",'CE statale'!M82)</f>
        <v>400822.15</v>
      </c>
    </row>
    <row r="83" spans="1:13" s="55" customFormat="1">
      <c r="A83" s="209" t="s">
        <v>2905</v>
      </c>
      <c r="B83" s="257"/>
      <c r="C83" s="250"/>
      <c r="D83" s="254"/>
      <c r="E83" s="222" t="s">
        <v>2853</v>
      </c>
      <c r="F83" s="625" t="s">
        <v>2399</v>
      </c>
      <c r="G83" s="626"/>
      <c r="H83" s="225">
        <f>IF('CE statale'!H83=0,"",'CE statale'!H83)</f>
        <v>50000</v>
      </c>
      <c r="I83" s="225">
        <f>IF('CE statale'!I83=0,"",'CE statale'!I83)</f>
        <v>50000</v>
      </c>
      <c r="J83" s="226" t="str">
        <f>IF('CE statale'!J83=0,"",'CE statale'!J83)</f>
        <v/>
      </c>
      <c r="K83" s="227" t="str">
        <f>IF('CE statale'!K83=0,"",'CE statale'!K83)</f>
        <v/>
      </c>
      <c r="L83" s="209"/>
      <c r="M83" s="298">
        <f>IF('CE statale'!M83=0,"",'CE statale'!M83)</f>
        <v>25000</v>
      </c>
    </row>
    <row r="84" spans="1:13" s="55" customFormat="1" ht="30" customHeight="1">
      <c r="A84" s="209" t="s">
        <v>2907</v>
      </c>
      <c r="B84" s="257"/>
      <c r="C84" s="250"/>
      <c r="D84" s="254"/>
      <c r="E84" s="222" t="s">
        <v>3542</v>
      </c>
      <c r="F84" s="625" t="s">
        <v>2400</v>
      </c>
      <c r="G84" s="626"/>
      <c r="H84" s="225" t="str">
        <f>IF('CE statale'!H84=0,"",'CE statale'!H84)</f>
        <v/>
      </c>
      <c r="I84" s="225" t="str">
        <f>IF('CE statale'!I84=0,"",'CE statale'!I84)</f>
        <v/>
      </c>
      <c r="J84" s="226" t="str">
        <f>IF('CE statale'!J84=0,"",'CE statale'!J84)</f>
        <v/>
      </c>
      <c r="K84" s="227" t="str">
        <f>IF('CE statale'!K84=0,"",'CE statale'!K84)</f>
        <v xml:space="preserve">-    </v>
      </c>
      <c r="L84" s="209"/>
      <c r="M84" s="298">
        <f>IF('CE statale'!M84=0,"",'CE statale'!M84)</f>
        <v>78942.33</v>
      </c>
    </row>
    <row r="85" spans="1:13" s="55" customFormat="1">
      <c r="A85" s="209" t="s">
        <v>2909</v>
      </c>
      <c r="B85" s="257"/>
      <c r="C85" s="250"/>
      <c r="D85" s="254"/>
      <c r="E85" s="222" t="s">
        <v>3550</v>
      </c>
      <c r="F85" s="625" t="s">
        <v>1481</v>
      </c>
      <c r="G85" s="626"/>
      <c r="H85" s="225">
        <f>IF('CE statale'!H85=0,"",'CE statale'!H85)</f>
        <v>8444000</v>
      </c>
      <c r="I85" s="225">
        <f>IF('CE statale'!I85=0,"",'CE statale'!I85)</f>
        <v>8444000</v>
      </c>
      <c r="J85" s="226" t="str">
        <f>IF('CE statale'!J85=0,"",'CE statale'!J85)</f>
        <v/>
      </c>
      <c r="K85" s="227" t="str">
        <f>IF('CE statale'!K85=0,"",'CE statale'!K85)</f>
        <v/>
      </c>
      <c r="L85" s="209"/>
      <c r="M85" s="298">
        <f>IF('CE statale'!M85=0,"",'CE statale'!M85)</f>
        <v>10795630.109999999</v>
      </c>
    </row>
    <row r="86" spans="1:13" s="79" customFormat="1">
      <c r="A86" s="209"/>
      <c r="B86" s="241"/>
      <c r="C86" s="242" t="s">
        <v>2401</v>
      </c>
      <c r="D86" s="242"/>
      <c r="E86" s="242"/>
      <c r="F86" s="242"/>
      <c r="G86" s="243"/>
      <c r="H86" s="244">
        <f>IF('CE statale'!H86=0,"",'CE statale'!H86)</f>
        <v>1349938042.5699999</v>
      </c>
      <c r="I86" s="244">
        <f>IF('CE statale'!I86=0,"",'CE statale'!I86)</f>
        <v>1314106500</v>
      </c>
      <c r="J86" s="245">
        <f>IF('CE statale'!J86=0,"",'CE statale'!J86)</f>
        <v>35831542.569999933</v>
      </c>
      <c r="K86" s="246">
        <f>IF('CE statale'!K86=0,"",'CE statale'!K86)</f>
        <v>2.7266848288171417E-2</v>
      </c>
      <c r="L86" s="214"/>
      <c r="M86" s="300">
        <f>IF('CE statale'!M86=0,"",'CE statale'!M86)</f>
        <v>1281919575.6999996</v>
      </c>
    </row>
    <row r="87" spans="1:13" s="55" customFormat="1" ht="15.75" thickBot="1">
      <c r="A87" s="209"/>
      <c r="B87" s="257"/>
      <c r="C87" s="222"/>
      <c r="D87" s="254"/>
      <c r="E87" s="251"/>
      <c r="F87" s="254"/>
      <c r="G87" s="255"/>
      <c r="H87" s="225" t="str">
        <f>IF('CE statale'!H87=0,"",'CE statale'!H87)</f>
        <v/>
      </c>
      <c r="I87" s="225" t="str">
        <f>IF('CE statale'!I87=0,"",'CE statale'!I87)</f>
        <v/>
      </c>
      <c r="J87" s="226" t="str">
        <f>IF('CE statale'!J87=0,"",'CE statale'!J87)</f>
        <v/>
      </c>
      <c r="K87" s="227" t="str">
        <f>IF('CE statale'!K87=0,"",'CE statale'!K87)</f>
        <v/>
      </c>
      <c r="L87" s="209"/>
      <c r="M87" s="298" t="str">
        <f>IF('CE statale'!M87=0,"",'CE statale'!M87)</f>
        <v/>
      </c>
    </row>
    <row r="88" spans="1:13" s="81" customFormat="1" ht="16.5" thickTop="1" thickBot="1">
      <c r="A88" s="258"/>
      <c r="B88" s="635" t="s">
        <v>2402</v>
      </c>
      <c r="C88" s="636"/>
      <c r="D88" s="636"/>
      <c r="E88" s="636"/>
      <c r="F88" s="636"/>
      <c r="G88" s="637"/>
      <c r="H88" s="262">
        <f>IF('CE statale'!H88=0,"",'CE statale'!H88)</f>
        <v>35617500</v>
      </c>
      <c r="I88" s="262">
        <f>IF('CE statale'!I88=0,"",'CE statale'!I88)</f>
        <v>55311206.930000067</v>
      </c>
      <c r="J88" s="263">
        <f>IF('CE statale'!J88=0,"",'CE statale'!J88)</f>
        <v>-19693706.930000067</v>
      </c>
      <c r="K88" s="264">
        <f>IF('CE statale'!K88=0,"",'CE statale'!K88)</f>
        <v>-0.3560527427095152</v>
      </c>
      <c r="L88" s="265"/>
      <c r="M88" s="301">
        <f>IF('CE statale'!M88=0,"",'CE statale'!M88)</f>
        <v>50838577.310000658</v>
      </c>
    </row>
    <row r="89" spans="1:13" s="81" customFormat="1" ht="15.75" thickTop="1">
      <c r="A89" s="258"/>
      <c r="B89" s="267"/>
      <c r="C89" s="268"/>
      <c r="D89" s="268"/>
      <c r="E89" s="269"/>
      <c r="F89" s="270"/>
      <c r="G89" s="271"/>
      <c r="H89" s="272" t="str">
        <f>IF('CE statale'!H89=0,"",'CE statale'!H89)</f>
        <v/>
      </c>
      <c r="I89" s="272" t="str">
        <f>IF('CE statale'!I89=0,"",'CE statale'!I89)</f>
        <v/>
      </c>
      <c r="J89" s="273" t="str">
        <f>IF('CE statale'!J89=0,"",'CE statale'!J89)</f>
        <v/>
      </c>
      <c r="K89" s="274" t="str">
        <f>IF('CE statale'!K89=0,"",'CE statale'!K89)</f>
        <v/>
      </c>
      <c r="L89" s="265"/>
      <c r="M89" s="302" t="str">
        <f>IF('CE statale'!M89=0,"",'CE statale'!M89)</f>
        <v/>
      </c>
    </row>
    <row r="90" spans="1:13" s="79" customFormat="1">
      <c r="A90" s="209"/>
      <c r="B90" s="215" t="s">
        <v>2262</v>
      </c>
      <c r="C90" s="630" t="s">
        <v>1482</v>
      </c>
      <c r="D90" s="630"/>
      <c r="E90" s="630"/>
      <c r="F90" s="630"/>
      <c r="G90" s="631"/>
      <c r="H90" s="217" t="str">
        <f>IF('CE statale'!H90=0,"",'CE statale'!H90)</f>
        <v/>
      </c>
      <c r="I90" s="217" t="str">
        <f>IF('CE statale'!I90=0,"",'CE statale'!I90)</f>
        <v/>
      </c>
      <c r="J90" s="218" t="str">
        <f>IF('CE statale'!J90=0,"",'CE statale'!J90)</f>
        <v/>
      </c>
      <c r="K90" s="219" t="str">
        <f>IF('CE statale'!K90=0,"",'CE statale'!K90)</f>
        <v/>
      </c>
      <c r="L90" s="214"/>
      <c r="M90" s="297" t="str">
        <f>IF('CE statale'!M90=0,"",'CE statale'!M90)</f>
        <v/>
      </c>
    </row>
    <row r="91" spans="1:13" s="79" customFormat="1">
      <c r="A91" s="209" t="s">
        <v>2912</v>
      </c>
      <c r="B91" s="240"/>
      <c r="C91" s="216" t="s">
        <v>2849</v>
      </c>
      <c r="D91" s="628" t="s">
        <v>2403</v>
      </c>
      <c r="E91" s="628"/>
      <c r="F91" s="628"/>
      <c r="G91" s="629"/>
      <c r="H91" s="217">
        <f>IF('CE statale'!H91=0,"",'CE statale'!H91)</f>
        <v>15000</v>
      </c>
      <c r="I91" s="217">
        <f>IF('CE statale'!I91=0,"",'CE statale'!I91)</f>
        <v>15032.77</v>
      </c>
      <c r="J91" s="218">
        <f>IF('CE statale'!J91=0,"",'CE statale'!J91)</f>
        <v>-32.770000000000437</v>
      </c>
      <c r="K91" s="219">
        <f>IF('CE statale'!K91=0,"",'CE statale'!K91)</f>
        <v>-2.1799043024007176E-3</v>
      </c>
      <c r="L91" s="214"/>
      <c r="M91" s="297">
        <f>IF('CE statale'!M91=0,"",'CE statale'!M91)</f>
        <v>19419.93</v>
      </c>
    </row>
    <row r="92" spans="1:13" s="79" customFormat="1">
      <c r="A92" s="209" t="s">
        <v>2914</v>
      </c>
      <c r="B92" s="240"/>
      <c r="C92" s="216" t="s">
        <v>2858</v>
      </c>
      <c r="D92" s="628" t="s">
        <v>2404</v>
      </c>
      <c r="E92" s="628"/>
      <c r="F92" s="628"/>
      <c r="G92" s="629"/>
      <c r="H92" s="217">
        <f>IF('CE statale'!H92=0,"",'CE statale'!H92)</f>
        <v>21000</v>
      </c>
      <c r="I92" s="217">
        <f>IF('CE statale'!I92=0,"",'CE statale'!I92)</f>
        <v>69000</v>
      </c>
      <c r="J92" s="218">
        <f>IF('CE statale'!J92=0,"",'CE statale'!J92)</f>
        <v>-48000</v>
      </c>
      <c r="K92" s="219">
        <f>IF('CE statale'!K92=0,"",'CE statale'!K92)</f>
        <v>-0.69565217391304346</v>
      </c>
      <c r="L92" s="214"/>
      <c r="M92" s="297">
        <f>IF('CE statale'!M92=0,"",'CE statale'!M92)</f>
        <v>87181.750000000015</v>
      </c>
    </row>
    <row r="93" spans="1:13" s="79" customFormat="1">
      <c r="A93" s="209"/>
      <c r="B93" s="241"/>
      <c r="C93" s="242" t="s">
        <v>2405</v>
      </c>
      <c r="D93" s="242"/>
      <c r="E93" s="242"/>
      <c r="F93" s="242"/>
      <c r="G93" s="243"/>
      <c r="H93" s="244">
        <f>IF('CE statale'!H93=0,"",'CE statale'!H93)</f>
        <v>-6000</v>
      </c>
      <c r="I93" s="244">
        <f>IF('CE statale'!I93=0,"",'CE statale'!I93)</f>
        <v>-53967.229999999996</v>
      </c>
      <c r="J93" s="245">
        <f>IF('CE statale'!J93=0,"",'CE statale'!J93)</f>
        <v>47967.229999999996</v>
      </c>
      <c r="K93" s="246">
        <f>IF('CE statale'!K93=0,"",'CE statale'!K93)</f>
        <v>-0.88882141996170638</v>
      </c>
      <c r="L93" s="214"/>
      <c r="M93" s="300">
        <f>IF('CE statale'!M93=0,"",'CE statale'!M93)</f>
        <v>-67761.820000000007</v>
      </c>
    </row>
    <row r="94" spans="1:13" s="55" customFormat="1">
      <c r="A94" s="209"/>
      <c r="B94" s="248"/>
      <c r="C94" s="222"/>
      <c r="D94" s="254"/>
      <c r="E94" s="249"/>
      <c r="F94" s="254"/>
      <c r="G94" s="255"/>
      <c r="H94" s="225" t="str">
        <f>IF('CE statale'!H94=0,"",'CE statale'!H94)</f>
        <v/>
      </c>
      <c r="I94" s="225" t="str">
        <f>IF('CE statale'!I94=0,"",'CE statale'!I94)</f>
        <v/>
      </c>
      <c r="J94" s="226" t="str">
        <f>IF('CE statale'!J94=0,"",'CE statale'!J94)</f>
        <v/>
      </c>
      <c r="K94" s="227" t="str">
        <f>IF('CE statale'!K94=0,"",'CE statale'!K94)</f>
        <v/>
      </c>
      <c r="L94" s="209"/>
      <c r="M94" s="298" t="str">
        <f>IF('CE statale'!M94=0,"",'CE statale'!M94)</f>
        <v/>
      </c>
    </row>
    <row r="95" spans="1:13" s="79" customFormat="1">
      <c r="A95" s="209"/>
      <c r="B95" s="215" t="s">
        <v>2363</v>
      </c>
      <c r="C95" s="630" t="s">
        <v>1484</v>
      </c>
      <c r="D95" s="630"/>
      <c r="E95" s="630"/>
      <c r="F95" s="630"/>
      <c r="G95" s="631"/>
      <c r="H95" s="217" t="str">
        <f>IF('CE statale'!H95=0,"",'CE statale'!H95)</f>
        <v/>
      </c>
      <c r="I95" s="217" t="str">
        <f>IF('CE statale'!I95=0,"",'CE statale'!I95)</f>
        <v/>
      </c>
      <c r="J95" s="218" t="str">
        <f>IF('CE statale'!J95=0,"",'CE statale'!J95)</f>
        <v/>
      </c>
      <c r="K95" s="219" t="str">
        <f>IF('CE statale'!K95=0,"",'CE statale'!K95)</f>
        <v/>
      </c>
      <c r="L95" s="214"/>
      <c r="M95" s="297" t="str">
        <f>IF('CE statale'!M95=0,"",'CE statale'!M95)</f>
        <v/>
      </c>
    </row>
    <row r="96" spans="1:13" s="79" customFormat="1">
      <c r="A96" s="209" t="s">
        <v>771</v>
      </c>
      <c r="B96" s="240"/>
      <c r="C96" s="216" t="s">
        <v>2849</v>
      </c>
      <c r="D96" s="628" t="s">
        <v>1486</v>
      </c>
      <c r="E96" s="628"/>
      <c r="F96" s="628"/>
      <c r="G96" s="629"/>
      <c r="H96" s="217" t="str">
        <f>IF('CE statale'!H96=0,"",'CE statale'!H96)</f>
        <v/>
      </c>
      <c r="I96" s="217" t="str">
        <f>IF('CE statale'!I96=0,"",'CE statale'!I96)</f>
        <v/>
      </c>
      <c r="J96" s="218" t="str">
        <f>IF('CE statale'!J96=0,"",'CE statale'!J96)</f>
        <v/>
      </c>
      <c r="K96" s="219" t="str">
        <f>IF('CE statale'!K96=0,"",'CE statale'!K96)</f>
        <v xml:space="preserve">-    </v>
      </c>
      <c r="L96" s="214"/>
      <c r="M96" s="297">
        <f>IF('CE statale'!M96=0,"",'CE statale'!M96)</f>
        <v>6503.01</v>
      </c>
    </row>
    <row r="97" spans="1:13" s="79" customFormat="1">
      <c r="A97" s="209" t="s">
        <v>1798</v>
      </c>
      <c r="B97" s="240"/>
      <c r="C97" s="216" t="s">
        <v>2858</v>
      </c>
      <c r="D97" s="628" t="s">
        <v>1487</v>
      </c>
      <c r="E97" s="628"/>
      <c r="F97" s="628"/>
      <c r="G97" s="629"/>
      <c r="H97" s="217" t="str">
        <f>IF('CE statale'!H97=0,"",'CE statale'!H97)</f>
        <v/>
      </c>
      <c r="I97" s="217" t="str">
        <f>IF('CE statale'!I97=0,"",'CE statale'!I97)</f>
        <v/>
      </c>
      <c r="J97" s="218" t="str">
        <f>IF('CE statale'!J97=0,"",'CE statale'!J97)</f>
        <v/>
      </c>
      <c r="K97" s="219" t="str">
        <f>IF('CE statale'!K97=0,"",'CE statale'!K97)</f>
        <v xml:space="preserve">-    </v>
      </c>
      <c r="L97" s="214"/>
      <c r="M97" s="297" t="str">
        <f>IF('CE statale'!M97=0,"",'CE statale'!M97)</f>
        <v/>
      </c>
    </row>
    <row r="98" spans="1:13" s="79" customFormat="1">
      <c r="A98" s="209"/>
      <c r="B98" s="241"/>
      <c r="C98" s="242" t="s">
        <v>2406</v>
      </c>
      <c r="D98" s="242"/>
      <c r="E98" s="242"/>
      <c r="F98" s="242"/>
      <c r="G98" s="243"/>
      <c r="H98" s="244" t="str">
        <f>IF('CE statale'!H98=0,"",'CE statale'!H98)</f>
        <v/>
      </c>
      <c r="I98" s="244" t="str">
        <f>IF('CE statale'!I98=0,"",'CE statale'!I98)</f>
        <v/>
      </c>
      <c r="J98" s="245" t="str">
        <f>IF('CE statale'!J98=0,"",'CE statale'!J98)</f>
        <v/>
      </c>
      <c r="K98" s="246" t="str">
        <f>IF('CE statale'!K98=0,"",'CE statale'!K98)</f>
        <v xml:space="preserve">-    </v>
      </c>
      <c r="L98" s="214"/>
      <c r="M98" s="300">
        <f>IF('CE statale'!M98=0,"",'CE statale'!M98)</f>
        <v>6503.01</v>
      </c>
    </row>
    <row r="99" spans="1:13" s="55" customFormat="1">
      <c r="A99" s="209"/>
      <c r="B99" s="248"/>
      <c r="C99" s="222"/>
      <c r="D99" s="251"/>
      <c r="E99" s="249"/>
      <c r="F99" s="223"/>
      <c r="G99" s="224"/>
      <c r="H99" s="225" t="str">
        <f>IF('CE statale'!H99=0,"",'CE statale'!H99)</f>
        <v/>
      </c>
      <c r="I99" s="225" t="str">
        <f>IF('CE statale'!I99=0,"",'CE statale'!I99)</f>
        <v/>
      </c>
      <c r="J99" s="226" t="str">
        <f>IF('CE statale'!J99=0,"",'CE statale'!J99)</f>
        <v/>
      </c>
      <c r="K99" s="227" t="str">
        <f>IF('CE statale'!K99=0,"",'CE statale'!K99)</f>
        <v/>
      </c>
      <c r="L99" s="209"/>
      <c r="M99" s="298" t="str">
        <f>IF('CE statale'!M99=0,"",'CE statale'!M99)</f>
        <v/>
      </c>
    </row>
    <row r="100" spans="1:13" s="79" customFormat="1">
      <c r="A100" s="209"/>
      <c r="B100" s="215" t="s">
        <v>1488</v>
      </c>
      <c r="C100" s="630" t="s">
        <v>1489</v>
      </c>
      <c r="D100" s="630"/>
      <c r="E100" s="630"/>
      <c r="F100" s="630"/>
      <c r="G100" s="631"/>
      <c r="H100" s="217" t="str">
        <f>IF('CE statale'!H100=0,"",'CE statale'!H100)</f>
        <v/>
      </c>
      <c r="I100" s="217" t="str">
        <f>IF('CE statale'!I100=0,"",'CE statale'!I100)</f>
        <v/>
      </c>
      <c r="J100" s="218" t="str">
        <f>IF('CE statale'!J100=0,"",'CE statale'!J100)</f>
        <v/>
      </c>
      <c r="K100" s="219" t="str">
        <f>IF('CE statale'!K100=0,"",'CE statale'!K100)</f>
        <v/>
      </c>
      <c r="L100" s="214"/>
      <c r="M100" s="297" t="str">
        <f>IF('CE statale'!M100=0,"",'CE statale'!M100)</f>
        <v/>
      </c>
    </row>
    <row r="101" spans="1:13" s="79" customFormat="1">
      <c r="A101" s="209"/>
      <c r="B101" s="240"/>
      <c r="C101" s="216" t="s">
        <v>2849</v>
      </c>
      <c r="D101" s="628" t="s">
        <v>2407</v>
      </c>
      <c r="E101" s="628"/>
      <c r="F101" s="628"/>
      <c r="G101" s="629"/>
      <c r="H101" s="217">
        <f>IF('CE statale'!H101=0,"",'CE statale'!H101)</f>
        <v>5010000</v>
      </c>
      <c r="I101" s="217">
        <f>IF('CE statale'!I101=0,"",'CE statale'!I101)</f>
        <v>7468474.8800000008</v>
      </c>
      <c r="J101" s="218">
        <f>IF('CE statale'!J101=0,"",'CE statale'!J101)</f>
        <v>-2458474.8800000008</v>
      </c>
      <c r="K101" s="219">
        <f>IF('CE statale'!K101=0,"",'CE statale'!K101)</f>
        <v>-0.32918031050537599</v>
      </c>
      <c r="L101" s="214"/>
      <c r="M101" s="297">
        <f>IF('CE statale'!M101=0,"",'CE statale'!M101)</f>
        <v>11097671.699999999</v>
      </c>
    </row>
    <row r="102" spans="1:13" s="55" customFormat="1">
      <c r="A102" s="209" t="s">
        <v>2</v>
      </c>
      <c r="B102" s="248"/>
      <c r="C102" s="250"/>
      <c r="D102" s="254"/>
      <c r="E102" s="222" t="s">
        <v>2851</v>
      </c>
      <c r="F102" s="625" t="s">
        <v>2408</v>
      </c>
      <c r="G102" s="626"/>
      <c r="H102" s="225" t="str">
        <f>IF('CE statale'!H102=0,"",'CE statale'!H102)</f>
        <v/>
      </c>
      <c r="I102" s="225" t="str">
        <f>IF('CE statale'!I102=0,"",'CE statale'!I102)</f>
        <v/>
      </c>
      <c r="J102" s="226" t="str">
        <f>IF('CE statale'!J102=0,"",'CE statale'!J102)</f>
        <v/>
      </c>
      <c r="K102" s="227" t="str">
        <f>IF('CE statale'!K102=0,"",'CE statale'!K102)</f>
        <v xml:space="preserve">-    </v>
      </c>
      <c r="L102" s="209"/>
      <c r="M102" s="298" t="str">
        <f>IF('CE statale'!M102=0,"",'CE statale'!M102)</f>
        <v/>
      </c>
    </row>
    <row r="103" spans="1:13" s="55" customFormat="1">
      <c r="A103" s="209" t="s">
        <v>740</v>
      </c>
      <c r="B103" s="248"/>
      <c r="C103" s="250"/>
      <c r="D103" s="254"/>
      <c r="E103" s="222" t="s">
        <v>2853</v>
      </c>
      <c r="F103" s="625" t="s">
        <v>2409</v>
      </c>
      <c r="G103" s="626"/>
      <c r="H103" s="225">
        <f>IF('CE statale'!H103=0,"",'CE statale'!H103)</f>
        <v>5010000</v>
      </c>
      <c r="I103" s="225">
        <f>IF('CE statale'!I103=0,"",'CE statale'!I103)</f>
        <v>7468474.8800000008</v>
      </c>
      <c r="J103" s="226">
        <f>IF('CE statale'!J103=0,"",'CE statale'!J103)</f>
        <v>-2458474.8800000008</v>
      </c>
      <c r="K103" s="227">
        <f>IF('CE statale'!K103=0,"",'CE statale'!K103)</f>
        <v>-0.32918031050537599</v>
      </c>
      <c r="L103" s="209"/>
      <c r="M103" s="298">
        <f>IF('CE statale'!M103=0,"",'CE statale'!M103)</f>
        <v>11097671.699999999</v>
      </c>
    </row>
    <row r="104" spans="1:13" s="79" customFormat="1">
      <c r="A104" s="209"/>
      <c r="B104" s="240"/>
      <c r="C104" s="216" t="s">
        <v>2858</v>
      </c>
      <c r="D104" s="628" t="s">
        <v>2410</v>
      </c>
      <c r="E104" s="628"/>
      <c r="F104" s="628"/>
      <c r="G104" s="629"/>
      <c r="H104" s="217">
        <f>IF('CE statale'!H104=0,"",'CE statale'!H104)</f>
        <v>152500</v>
      </c>
      <c r="I104" s="217">
        <f>IF('CE statale'!I104=0,"",'CE statale'!I104)</f>
        <v>680154.14</v>
      </c>
      <c r="J104" s="218">
        <f>IF('CE statale'!J104=0,"",'CE statale'!J104)</f>
        <v>-527654.14</v>
      </c>
      <c r="K104" s="219">
        <f>IF('CE statale'!K104=0,"",'CE statale'!K104)</f>
        <v>-0.77578611812904641</v>
      </c>
      <c r="L104" s="214"/>
      <c r="M104" s="297">
        <f>IF('CE statale'!M104=0,"",'CE statale'!M104)</f>
        <v>4731051.8200000012</v>
      </c>
    </row>
    <row r="105" spans="1:13" s="55" customFormat="1">
      <c r="A105" s="209" t="s">
        <v>1821</v>
      </c>
      <c r="B105" s="248"/>
      <c r="C105" s="250"/>
      <c r="D105" s="254"/>
      <c r="E105" s="222" t="s">
        <v>2851</v>
      </c>
      <c r="F105" s="625" t="s">
        <v>2411</v>
      </c>
      <c r="G105" s="626"/>
      <c r="H105" s="225">
        <f>IF('CE statale'!H105=0,"",'CE statale'!H105)</f>
        <v>52000</v>
      </c>
      <c r="I105" s="225">
        <f>IF('CE statale'!I105=0,"",'CE statale'!I105)</f>
        <v>52000</v>
      </c>
      <c r="J105" s="226" t="str">
        <f>IF('CE statale'!J105=0,"",'CE statale'!J105)</f>
        <v/>
      </c>
      <c r="K105" s="227" t="str">
        <f>IF('CE statale'!K105=0,"",'CE statale'!K105)</f>
        <v/>
      </c>
      <c r="L105" s="209"/>
      <c r="M105" s="298">
        <f>IF('CE statale'!M105=0,"",'CE statale'!M105)</f>
        <v>51769.03</v>
      </c>
    </row>
    <row r="106" spans="1:13" s="55" customFormat="1">
      <c r="A106" s="209" t="s">
        <v>1775</v>
      </c>
      <c r="B106" s="248"/>
      <c r="C106" s="250"/>
      <c r="D106" s="254"/>
      <c r="E106" s="222" t="s">
        <v>2853</v>
      </c>
      <c r="F106" s="625" t="s">
        <v>2412</v>
      </c>
      <c r="G106" s="626"/>
      <c r="H106" s="225">
        <f>IF('CE statale'!H106=0,"",'CE statale'!H106)</f>
        <v>100500</v>
      </c>
      <c r="I106" s="225">
        <f>IF('CE statale'!I106=0,"",'CE statale'!I106)</f>
        <v>628154.14</v>
      </c>
      <c r="J106" s="226">
        <f>IF('CE statale'!J106=0,"",'CE statale'!J106)</f>
        <v>-527654.14</v>
      </c>
      <c r="K106" s="227">
        <f>IF('CE statale'!K106=0,"",'CE statale'!K106)</f>
        <v>-0.84000742238202875</v>
      </c>
      <c r="L106" s="209"/>
      <c r="M106" s="298">
        <f>IF('CE statale'!M106=0,"",'CE statale'!M106)</f>
        <v>4679282.790000001</v>
      </c>
    </row>
    <row r="107" spans="1:13" s="79" customFormat="1">
      <c r="A107" s="209"/>
      <c r="B107" s="241"/>
      <c r="C107" s="242" t="s">
        <v>2413</v>
      </c>
      <c r="D107" s="242"/>
      <c r="E107" s="242"/>
      <c r="F107" s="242"/>
      <c r="G107" s="243"/>
      <c r="H107" s="244">
        <f>IF('CE statale'!H107=0,"",'CE statale'!H107)</f>
        <v>4857500</v>
      </c>
      <c r="I107" s="244">
        <f>IF('CE statale'!I107=0,"",'CE statale'!I107)</f>
        <v>6788320.7400000012</v>
      </c>
      <c r="J107" s="245">
        <f>IF('CE statale'!J107=0,"",'CE statale'!J107)</f>
        <v>-1930820.7400000012</v>
      </c>
      <c r="K107" s="246">
        <f>IF('CE statale'!K107=0,"",'CE statale'!K107)</f>
        <v>-0.28443275059510531</v>
      </c>
      <c r="L107" s="214"/>
      <c r="M107" s="300">
        <f>IF('CE statale'!M107=0,"",'CE statale'!M107)</f>
        <v>6366619.879999998</v>
      </c>
    </row>
    <row r="108" spans="1:13" s="55" customFormat="1" ht="15.75" thickBot="1">
      <c r="A108" s="209"/>
      <c r="B108" s="257"/>
      <c r="C108" s="222"/>
      <c r="D108" s="254"/>
      <c r="E108" s="251"/>
      <c r="F108" s="254"/>
      <c r="G108" s="255"/>
      <c r="H108" s="225" t="str">
        <f>IF('CE statale'!H108=0,"",'CE statale'!H108)</f>
        <v/>
      </c>
      <c r="I108" s="225" t="str">
        <f>IF('CE statale'!I108=0,"",'CE statale'!I108)</f>
        <v/>
      </c>
      <c r="J108" s="226" t="str">
        <f>IF('CE statale'!J108=0,"",'CE statale'!J108)</f>
        <v/>
      </c>
      <c r="K108" s="227" t="str">
        <f>IF('CE statale'!K108=0,"",'CE statale'!K108)</f>
        <v/>
      </c>
      <c r="L108" s="209"/>
      <c r="M108" s="298" t="str">
        <f>IF('CE statale'!M108=0,"",'CE statale'!M108)</f>
        <v/>
      </c>
    </row>
    <row r="109" spans="1:13" s="81" customFormat="1" ht="16.5" thickTop="1" thickBot="1">
      <c r="A109" s="258"/>
      <c r="B109" s="259" t="s">
        <v>2414</v>
      </c>
      <c r="C109" s="260"/>
      <c r="D109" s="260"/>
      <c r="E109" s="260"/>
      <c r="F109" s="260"/>
      <c r="G109" s="261"/>
      <c r="H109" s="262">
        <f>IF('CE statale'!H109=0,"",'CE statale'!H109)</f>
        <v>40469000</v>
      </c>
      <c r="I109" s="262">
        <f>IF('CE statale'!I109=0,"",'CE statale'!I109)</f>
        <v>62045560.440000072</v>
      </c>
      <c r="J109" s="263">
        <f>IF('CE statale'!J109=0,"",'CE statale'!J109)</f>
        <v>-21576560.440000072</v>
      </c>
      <c r="K109" s="264">
        <f>IF('CE statale'!K109=0,"",'CE statale'!K109)</f>
        <v>-0.34775349415797857</v>
      </c>
      <c r="L109" s="265"/>
      <c r="M109" s="301">
        <f>IF('CE statale'!M109=0,"",'CE statale'!M109)</f>
        <v>57143938.380000651</v>
      </c>
    </row>
    <row r="110" spans="1:13" s="81" customFormat="1" ht="15.75" thickTop="1">
      <c r="A110" s="258"/>
      <c r="B110" s="267"/>
      <c r="C110" s="268"/>
      <c r="D110" s="268"/>
      <c r="E110" s="269"/>
      <c r="F110" s="270"/>
      <c r="G110" s="271"/>
      <c r="H110" s="272" t="str">
        <f>IF('CE statale'!H110=0,"",'CE statale'!H110)</f>
        <v/>
      </c>
      <c r="I110" s="272" t="str">
        <f>IF('CE statale'!I110=0,"",'CE statale'!I110)</f>
        <v/>
      </c>
      <c r="J110" s="273" t="str">
        <f>IF('CE statale'!J110=0,"",'CE statale'!J110)</f>
        <v/>
      </c>
      <c r="K110" s="274" t="str">
        <f>IF('CE statale'!K110=0,"",'CE statale'!K110)</f>
        <v/>
      </c>
      <c r="L110" s="265"/>
      <c r="M110" s="302" t="str">
        <f>IF('CE statale'!M110=0,"",'CE statale'!M110)</f>
        <v/>
      </c>
    </row>
    <row r="111" spans="1:13" s="79" customFormat="1">
      <c r="A111" s="209"/>
      <c r="B111" s="215" t="s">
        <v>2922</v>
      </c>
      <c r="C111" s="630" t="s">
        <v>2415</v>
      </c>
      <c r="D111" s="630"/>
      <c r="E111" s="630"/>
      <c r="F111" s="630"/>
      <c r="G111" s="631"/>
      <c r="H111" s="217" t="str">
        <f>IF('CE statale'!H111=0,"",'CE statale'!H111)</f>
        <v/>
      </c>
      <c r="I111" s="217" t="str">
        <f>IF('CE statale'!I111=0,"",'CE statale'!I111)</f>
        <v/>
      </c>
      <c r="J111" s="218" t="str">
        <f>IF('CE statale'!J111=0,"",'CE statale'!J111)</f>
        <v/>
      </c>
      <c r="K111" s="219" t="str">
        <f>IF('CE statale'!K111=0,"",'CE statale'!K111)</f>
        <v/>
      </c>
      <c r="L111" s="214"/>
      <c r="M111" s="297" t="str">
        <f>IF('CE statale'!M111=0,"",'CE statale'!M111)</f>
        <v/>
      </c>
    </row>
    <row r="112" spans="1:13" s="79" customFormat="1">
      <c r="A112" s="209"/>
      <c r="B112" s="240"/>
      <c r="C112" s="216" t="s">
        <v>2849</v>
      </c>
      <c r="D112" s="628" t="s">
        <v>1840</v>
      </c>
      <c r="E112" s="628"/>
      <c r="F112" s="628"/>
      <c r="G112" s="629"/>
      <c r="H112" s="217">
        <f>IF('CE statale'!H112=0,"",'CE statale'!H112)</f>
        <v>40469000</v>
      </c>
      <c r="I112" s="217">
        <f>IF('CE statale'!I112=0,"",'CE statale'!I112)</f>
        <v>40354000</v>
      </c>
      <c r="J112" s="218">
        <f>IF('CE statale'!J112=0,"",'CE statale'!J112)</f>
        <v>115000</v>
      </c>
      <c r="K112" s="219">
        <f>IF('CE statale'!K112=0,"",'CE statale'!K112)</f>
        <v>2.8497794518511175E-3</v>
      </c>
      <c r="L112" s="214"/>
      <c r="M112" s="297">
        <f>IF('CE statale'!M112=0,"",'CE statale'!M112)</f>
        <v>39522914.770000003</v>
      </c>
    </row>
    <row r="113" spans="1:13" s="55" customFormat="1">
      <c r="A113" s="209" t="s">
        <v>2924</v>
      </c>
      <c r="B113" s="257"/>
      <c r="C113" s="250"/>
      <c r="D113" s="254"/>
      <c r="E113" s="222" t="s">
        <v>2851</v>
      </c>
      <c r="F113" s="625" t="s">
        <v>2416</v>
      </c>
      <c r="G113" s="626"/>
      <c r="H113" s="225">
        <f>IF('CE statale'!H113=0,"",'CE statale'!H113)</f>
        <v>40115000</v>
      </c>
      <c r="I113" s="225">
        <f>IF('CE statale'!I113=0,"",'CE statale'!I113)</f>
        <v>40000000</v>
      </c>
      <c r="J113" s="226">
        <f>IF('CE statale'!J113=0,"",'CE statale'!J113)</f>
        <v>115000</v>
      </c>
      <c r="K113" s="227">
        <f>IF('CE statale'!K113=0,"",'CE statale'!K113)</f>
        <v>2.875E-3</v>
      </c>
      <c r="L113" s="209"/>
      <c r="M113" s="298">
        <f>IF('CE statale'!M113=0,"",'CE statale'!M113)</f>
        <v>39178373.280000001</v>
      </c>
    </row>
    <row r="114" spans="1:13" s="55" customFormat="1" ht="30" customHeight="1">
      <c r="A114" s="209" t="s">
        <v>2925</v>
      </c>
      <c r="B114" s="257"/>
      <c r="C114" s="250"/>
      <c r="D114" s="254"/>
      <c r="E114" s="222" t="s">
        <v>2853</v>
      </c>
      <c r="F114" s="625" t="s">
        <v>2417</v>
      </c>
      <c r="G114" s="626"/>
      <c r="H114" s="225">
        <f>IF('CE statale'!H114=0,"",'CE statale'!H114)</f>
        <v>202000</v>
      </c>
      <c r="I114" s="225">
        <f>IF('CE statale'!I114=0,"",'CE statale'!I114)</f>
        <v>202000</v>
      </c>
      <c r="J114" s="226" t="str">
        <f>IF('CE statale'!J114=0,"",'CE statale'!J114)</f>
        <v/>
      </c>
      <c r="K114" s="227" t="str">
        <f>IF('CE statale'!K114=0,"",'CE statale'!K114)</f>
        <v/>
      </c>
      <c r="L114" s="209"/>
      <c r="M114" s="298">
        <f>IF('CE statale'!M114=0,"",'CE statale'!M114)</f>
        <v>193752.25</v>
      </c>
    </row>
    <row r="115" spans="1:13" s="55" customFormat="1">
      <c r="A115" s="209" t="s">
        <v>2926</v>
      </c>
      <c r="B115" s="257"/>
      <c r="C115" s="250"/>
      <c r="D115" s="254"/>
      <c r="E115" s="222" t="s">
        <v>3542</v>
      </c>
      <c r="F115" s="625" t="s">
        <v>2418</v>
      </c>
      <c r="G115" s="626"/>
      <c r="H115" s="225">
        <f>IF('CE statale'!H115=0,"",'CE statale'!H115)</f>
        <v>152000</v>
      </c>
      <c r="I115" s="225">
        <f>IF('CE statale'!I115=0,"",'CE statale'!I115)</f>
        <v>152000</v>
      </c>
      <c r="J115" s="226" t="str">
        <f>IF('CE statale'!J115=0,"",'CE statale'!J115)</f>
        <v/>
      </c>
      <c r="K115" s="227" t="str">
        <f>IF('CE statale'!K115=0,"",'CE statale'!K115)</f>
        <v/>
      </c>
      <c r="L115" s="209"/>
      <c r="M115" s="298">
        <f>IF('CE statale'!M115=0,"",'CE statale'!M115)</f>
        <v>150789.24</v>
      </c>
    </row>
    <row r="116" spans="1:13" s="55" customFormat="1">
      <c r="A116" s="209" t="s">
        <v>2927</v>
      </c>
      <c r="B116" s="257"/>
      <c r="C116" s="250"/>
      <c r="D116" s="254"/>
      <c r="E116" s="222" t="s">
        <v>3550</v>
      </c>
      <c r="F116" s="625" t="s">
        <v>2419</v>
      </c>
      <c r="G116" s="626"/>
      <c r="H116" s="225" t="str">
        <f>IF('CE statale'!H116=0,"",'CE statale'!H116)</f>
        <v/>
      </c>
      <c r="I116" s="225" t="str">
        <f>IF('CE statale'!I116=0,"",'CE statale'!I116)</f>
        <v/>
      </c>
      <c r="J116" s="226" t="str">
        <f>IF('CE statale'!J116=0,"",'CE statale'!J116)</f>
        <v/>
      </c>
      <c r="K116" s="227" t="str">
        <f>IF('CE statale'!K116=0,"",'CE statale'!K116)</f>
        <v xml:space="preserve">-    </v>
      </c>
      <c r="L116" s="209"/>
      <c r="M116" s="298" t="str">
        <f>IF('CE statale'!M116=0,"",'CE statale'!M116)</f>
        <v/>
      </c>
    </row>
    <row r="117" spans="1:13" s="79" customFormat="1">
      <c r="A117" s="209" t="s">
        <v>2928</v>
      </c>
      <c r="B117" s="240"/>
      <c r="C117" s="216" t="s">
        <v>2858</v>
      </c>
      <c r="D117" s="628" t="s">
        <v>1827</v>
      </c>
      <c r="E117" s="628"/>
      <c r="F117" s="628"/>
      <c r="G117" s="629"/>
      <c r="H117" s="217" t="str">
        <f>IF('CE statale'!H117=0,"",'CE statale'!H117)</f>
        <v/>
      </c>
      <c r="I117" s="217" t="str">
        <f>IF('CE statale'!I117=0,"",'CE statale'!I117)</f>
        <v/>
      </c>
      <c r="J117" s="218" t="str">
        <f>IF('CE statale'!J117=0,"",'CE statale'!J117)</f>
        <v/>
      </c>
      <c r="K117" s="219" t="str">
        <f>IF('CE statale'!K117=0,"",'CE statale'!K117)</f>
        <v xml:space="preserve">-    </v>
      </c>
      <c r="L117" s="214"/>
      <c r="M117" s="297" t="str">
        <f>IF('CE statale'!M117=0,"",'CE statale'!M117)</f>
        <v/>
      </c>
    </row>
    <row r="118" spans="1:13" s="79" customFormat="1" ht="30" customHeight="1">
      <c r="A118" s="209" t="s">
        <v>1072</v>
      </c>
      <c r="B118" s="240"/>
      <c r="C118" s="216" t="s">
        <v>2861</v>
      </c>
      <c r="D118" s="628" t="s">
        <v>2420</v>
      </c>
      <c r="E118" s="628"/>
      <c r="F118" s="628"/>
      <c r="G118" s="629"/>
      <c r="H118" s="217" t="str">
        <f>IF('CE statale'!H118=0,"",'CE statale'!H118)</f>
        <v/>
      </c>
      <c r="I118" s="217" t="str">
        <f>IF('CE statale'!I118=0,"",'CE statale'!I118)</f>
        <v/>
      </c>
      <c r="J118" s="218" t="str">
        <f>IF('CE statale'!J118=0,"",'CE statale'!J118)</f>
        <v/>
      </c>
      <c r="K118" s="219" t="str">
        <f>IF('CE statale'!K118=0,"",'CE statale'!K118)</f>
        <v xml:space="preserve">-    </v>
      </c>
      <c r="L118" s="214"/>
      <c r="M118" s="297" t="str">
        <f>IF('CE statale'!M118=0,"",'CE statale'!M118)</f>
        <v/>
      </c>
    </row>
    <row r="119" spans="1:13" s="79" customFormat="1">
      <c r="A119" s="209"/>
      <c r="B119" s="241"/>
      <c r="C119" s="242" t="s">
        <v>2421</v>
      </c>
      <c r="D119" s="242"/>
      <c r="E119" s="242"/>
      <c r="F119" s="242"/>
      <c r="G119" s="243"/>
      <c r="H119" s="244">
        <f>IF('CE statale'!H119=0,"",'CE statale'!H119)</f>
        <v>40469000</v>
      </c>
      <c r="I119" s="244">
        <f>IF('CE statale'!I119=0,"",'CE statale'!I119)</f>
        <v>40354000</v>
      </c>
      <c r="J119" s="245">
        <f>IF('CE statale'!J119=0,"",'CE statale'!J119)</f>
        <v>115000</v>
      </c>
      <c r="K119" s="246">
        <f>IF('CE statale'!K119=0,"",'CE statale'!K119)</f>
        <v>2.8497794518511175E-3</v>
      </c>
      <c r="L119" s="214"/>
      <c r="M119" s="300">
        <f>IF('CE statale'!M119=0,"",'CE statale'!M119)</f>
        <v>39522914.770000003</v>
      </c>
    </row>
    <row r="120" spans="1:13" s="55" customFormat="1">
      <c r="A120" s="209"/>
      <c r="B120" s="257"/>
      <c r="C120" s="222"/>
      <c r="D120" s="254"/>
      <c r="E120" s="251"/>
      <c r="F120" s="254"/>
      <c r="G120" s="255"/>
      <c r="H120" s="225" t="str">
        <f>IF('CE statale'!H120=0,"",'CE statale'!H120)</f>
        <v/>
      </c>
      <c r="I120" s="225" t="str">
        <f>IF('CE statale'!I120=0,"",'CE statale'!I120)</f>
        <v/>
      </c>
      <c r="J120" s="226" t="str">
        <f>IF('CE statale'!J120=0,"",'CE statale'!J120)</f>
        <v/>
      </c>
      <c r="K120" s="227" t="str">
        <f>IF('CE statale'!K120=0,"",'CE statale'!K120)</f>
        <v/>
      </c>
      <c r="L120" s="209"/>
      <c r="M120" s="298" t="str">
        <f>IF('CE statale'!M120=0,"",'CE statale'!M120)</f>
        <v/>
      </c>
    </row>
    <row r="121" spans="1:13" s="81" customFormat="1" ht="15.75" thickBot="1">
      <c r="A121" s="258"/>
      <c r="B121" s="276" t="s">
        <v>2422</v>
      </c>
      <c r="C121" s="277"/>
      <c r="D121" s="278"/>
      <c r="E121" s="277"/>
      <c r="F121" s="279"/>
      <c r="G121" s="280"/>
      <c r="H121" s="281" t="str">
        <f>IF('CE statale'!H121=0,"",'CE statale'!H121)</f>
        <v/>
      </c>
      <c r="I121" s="281">
        <f>IF('CE statale'!I121=0,"",'CE statale'!I121)</f>
        <v>21691560.440000072</v>
      </c>
      <c r="J121" s="282">
        <f>IF('CE statale'!J121=0,"",'CE statale'!J121)</f>
        <v>-21691560.440000072</v>
      </c>
      <c r="K121" s="283">
        <f>IF('CE statale'!K121=0,"",'CE statale'!K121)</f>
        <v>-1</v>
      </c>
      <c r="L121" s="265"/>
      <c r="M121" s="303">
        <f>IF('CE statale'!M121=0,"",'CE statale'!M121)</f>
        <v>17621023.610000648</v>
      </c>
    </row>
    <row r="122" spans="1:13" s="55" customFormat="1">
      <c r="B122" s="90"/>
      <c r="C122" s="90"/>
      <c r="D122" s="91"/>
      <c r="E122" s="91"/>
      <c r="F122" s="175"/>
      <c r="G122" s="175"/>
      <c r="H122" s="176"/>
      <c r="I122" s="176"/>
      <c r="J122" s="177"/>
      <c r="K122" s="178"/>
      <c r="M122" s="177"/>
    </row>
    <row r="123" spans="1:13">
      <c r="B123" s="88"/>
      <c r="C123" s="88"/>
      <c r="D123" s="54"/>
      <c r="E123" s="54"/>
      <c r="F123" s="54"/>
      <c r="G123" s="54"/>
      <c r="H123" s="52"/>
      <c r="I123" s="89"/>
    </row>
    <row r="124" spans="1:13">
      <c r="B124" s="90"/>
      <c r="C124" s="90"/>
      <c r="D124" s="91"/>
      <c r="E124" s="91"/>
      <c r="F124" s="91"/>
      <c r="G124" s="92"/>
      <c r="H124" s="89"/>
      <c r="I124" s="89"/>
    </row>
    <row r="125" spans="1:13">
      <c r="B125" s="90"/>
      <c r="C125" s="90"/>
      <c r="D125" s="91"/>
      <c r="E125" s="91"/>
      <c r="F125" s="91"/>
      <c r="G125" s="92"/>
      <c r="H125" s="89"/>
      <c r="I125" s="89"/>
    </row>
    <row r="126" spans="1:13">
      <c r="B126" s="90"/>
      <c r="C126" s="90"/>
      <c r="D126" s="91"/>
      <c r="E126" s="91"/>
      <c r="F126" s="91"/>
      <c r="G126" s="92"/>
      <c r="H126" s="89"/>
      <c r="I126" s="89"/>
    </row>
    <row r="127" spans="1:13">
      <c r="B127" s="90"/>
      <c r="C127" s="90"/>
      <c r="D127" s="91"/>
      <c r="E127" s="91"/>
      <c r="F127" s="91"/>
      <c r="G127" s="92"/>
      <c r="H127" s="89"/>
      <c r="I127" s="89"/>
    </row>
    <row r="128" spans="1:13">
      <c r="B128" s="90"/>
      <c r="C128" s="90"/>
      <c r="D128" s="91"/>
      <c r="E128" s="91"/>
      <c r="F128" s="91"/>
      <c r="G128" s="92"/>
      <c r="H128" s="89"/>
      <c r="I128" s="89"/>
    </row>
    <row r="129" spans="2:14">
      <c r="B129" s="90"/>
      <c r="C129" s="90"/>
      <c r="D129" s="91"/>
      <c r="E129" s="91"/>
      <c r="F129" s="91"/>
      <c r="G129" s="92"/>
      <c r="H129" s="89"/>
      <c r="I129" s="89"/>
    </row>
    <row r="130" spans="2:14">
      <c r="B130" s="90"/>
      <c r="C130" s="90"/>
      <c r="D130" s="91"/>
      <c r="E130" s="91"/>
      <c r="F130" s="91"/>
      <c r="G130" s="92"/>
      <c r="H130" s="89"/>
      <c r="I130" s="89"/>
    </row>
    <row r="131" spans="2:14">
      <c r="B131" s="90"/>
      <c r="C131" s="90"/>
      <c r="D131" s="91"/>
      <c r="E131" s="91"/>
      <c r="F131" s="91"/>
      <c r="G131" s="92"/>
      <c r="H131" s="89"/>
      <c r="I131" s="89"/>
    </row>
    <row r="132" spans="2:14">
      <c r="B132" s="90"/>
      <c r="C132" s="90"/>
      <c r="D132" s="91"/>
      <c r="E132" s="91"/>
      <c r="F132" s="91"/>
      <c r="G132" s="92"/>
      <c r="H132" s="89"/>
      <c r="I132" s="89"/>
    </row>
    <row r="133" spans="2:14">
      <c r="B133" s="90"/>
      <c r="C133" s="90"/>
      <c r="D133" s="91"/>
      <c r="E133" s="91"/>
      <c r="F133" s="91"/>
      <c r="G133" s="92"/>
      <c r="H133" s="89"/>
      <c r="I133" s="89"/>
    </row>
    <row r="134" spans="2:14">
      <c r="B134" s="90"/>
      <c r="C134" s="90"/>
      <c r="D134" s="91"/>
      <c r="E134" s="91"/>
      <c r="F134" s="91"/>
      <c r="G134" s="92"/>
      <c r="H134" s="89"/>
      <c r="I134" s="89"/>
    </row>
    <row r="135" spans="2:14">
      <c r="B135" s="90"/>
      <c r="C135" s="90"/>
      <c r="D135" s="91"/>
      <c r="E135" s="91"/>
      <c r="F135" s="91"/>
      <c r="G135" s="92"/>
    </row>
    <row r="136" spans="2:14">
      <c r="B136" s="90"/>
      <c r="C136" s="90"/>
      <c r="D136" s="91"/>
      <c r="E136" s="91"/>
      <c r="F136" s="91"/>
      <c r="G136" s="92"/>
    </row>
    <row r="137" spans="2:14">
      <c r="B137" s="90"/>
      <c r="C137" s="90"/>
      <c r="D137" s="91"/>
      <c r="E137" s="91"/>
      <c r="F137" s="91"/>
      <c r="G137" s="92"/>
    </row>
    <row r="138" spans="2:14">
      <c r="B138" s="90"/>
      <c r="C138" s="90"/>
      <c r="D138" s="91"/>
      <c r="E138" s="91"/>
      <c r="F138" s="91"/>
      <c r="G138" s="92"/>
    </row>
    <row r="139" spans="2:14">
      <c r="B139" s="90"/>
      <c r="C139" s="90"/>
      <c r="D139" s="91"/>
      <c r="E139" s="91"/>
      <c r="F139" s="91"/>
      <c r="G139" s="92"/>
    </row>
    <row r="140" spans="2:14">
      <c r="B140" s="90"/>
      <c r="C140" s="90"/>
      <c r="D140" s="91"/>
      <c r="E140" s="91"/>
      <c r="F140" s="91"/>
      <c r="G140" s="92"/>
    </row>
    <row r="141" spans="2:14">
      <c r="B141" s="90"/>
      <c r="C141" s="90"/>
      <c r="D141" s="91"/>
      <c r="E141" s="91"/>
      <c r="F141" s="91"/>
      <c r="G141" s="92"/>
    </row>
    <row r="142" spans="2:14">
      <c r="B142" s="90"/>
      <c r="C142" s="90"/>
      <c r="D142" s="91"/>
      <c r="E142" s="91"/>
      <c r="F142" s="91"/>
      <c r="G142" s="92"/>
    </row>
    <row r="143" spans="2:14" s="93" customFormat="1">
      <c r="B143" s="90"/>
      <c r="C143" s="90"/>
      <c r="D143" s="91"/>
      <c r="E143" s="91"/>
      <c r="F143" s="91"/>
      <c r="G143" s="92"/>
      <c r="H143" s="64"/>
      <c r="I143" s="64"/>
      <c r="J143" s="64"/>
      <c r="K143" s="64"/>
      <c r="L143" s="64"/>
      <c r="M143" s="64"/>
      <c r="N143" s="64"/>
    </row>
    <row r="144" spans="2:14" s="93" customFormat="1">
      <c r="B144" s="90"/>
      <c r="C144" s="90"/>
      <c r="D144" s="91"/>
      <c r="E144" s="91"/>
      <c r="F144" s="91"/>
      <c r="G144" s="92"/>
      <c r="H144" s="64"/>
      <c r="I144" s="64"/>
      <c r="J144" s="64"/>
      <c r="K144" s="64"/>
      <c r="L144" s="64"/>
      <c r="M144" s="64"/>
      <c r="N144" s="64"/>
    </row>
    <row r="145" spans="2:14" s="93" customFormat="1">
      <c r="B145" s="90"/>
      <c r="C145" s="90"/>
      <c r="D145" s="91"/>
      <c r="E145" s="91"/>
      <c r="F145" s="91"/>
      <c r="G145" s="92"/>
      <c r="H145" s="64"/>
      <c r="I145" s="64"/>
      <c r="J145" s="64"/>
      <c r="K145" s="64"/>
      <c r="L145" s="64"/>
      <c r="M145" s="64"/>
      <c r="N145" s="64"/>
    </row>
    <row r="146" spans="2:14" s="93" customFormat="1">
      <c r="B146" s="90"/>
      <c r="C146" s="90"/>
      <c r="D146" s="91"/>
      <c r="E146" s="91"/>
      <c r="F146" s="91"/>
      <c r="G146" s="92"/>
      <c r="H146" s="64"/>
      <c r="I146" s="64"/>
      <c r="J146" s="64"/>
      <c r="K146" s="64"/>
      <c r="L146" s="64"/>
      <c r="M146" s="64"/>
      <c r="N146" s="64"/>
    </row>
    <row r="147" spans="2:14" s="93" customFormat="1">
      <c r="B147" s="90"/>
      <c r="C147" s="90"/>
      <c r="D147" s="91"/>
      <c r="E147" s="91"/>
      <c r="F147" s="91"/>
      <c r="G147" s="92"/>
      <c r="H147" s="64"/>
      <c r="I147" s="64"/>
      <c r="J147" s="64"/>
      <c r="K147" s="64"/>
      <c r="L147" s="64"/>
      <c r="M147" s="64"/>
      <c r="N147" s="64"/>
    </row>
    <row r="148" spans="2:14" s="93" customFormat="1">
      <c r="B148" s="90"/>
      <c r="C148" s="90"/>
      <c r="D148" s="91"/>
      <c r="E148" s="91"/>
      <c r="F148" s="91"/>
      <c r="G148" s="92"/>
      <c r="H148" s="64"/>
      <c r="I148" s="64"/>
      <c r="J148" s="64"/>
      <c r="K148" s="64"/>
      <c r="L148" s="64"/>
      <c r="M148" s="64"/>
      <c r="N148" s="64"/>
    </row>
    <row r="149" spans="2:14" s="93" customFormat="1">
      <c r="B149" s="90"/>
      <c r="C149" s="90"/>
      <c r="D149" s="91"/>
      <c r="E149" s="91"/>
      <c r="F149" s="91"/>
      <c r="G149" s="92"/>
      <c r="H149" s="64"/>
      <c r="I149" s="64"/>
      <c r="J149" s="64"/>
      <c r="K149" s="64"/>
      <c r="L149" s="64"/>
      <c r="M149" s="64"/>
      <c r="N149" s="64"/>
    </row>
    <row r="150" spans="2:14" s="93" customFormat="1">
      <c r="B150" s="90"/>
      <c r="C150" s="90"/>
      <c r="D150" s="91"/>
      <c r="E150" s="91"/>
      <c r="F150" s="91"/>
      <c r="G150" s="92"/>
      <c r="H150" s="64"/>
      <c r="I150" s="64"/>
      <c r="J150" s="64"/>
      <c r="K150" s="64"/>
      <c r="L150" s="64"/>
      <c r="M150" s="64"/>
      <c r="N150" s="64"/>
    </row>
    <row r="151" spans="2:14" s="93" customFormat="1">
      <c r="B151" s="90"/>
      <c r="C151" s="90"/>
      <c r="D151" s="91"/>
      <c r="E151" s="91"/>
      <c r="F151" s="91"/>
      <c r="G151" s="92"/>
      <c r="H151" s="64"/>
      <c r="I151" s="64"/>
      <c r="J151" s="64"/>
      <c r="K151" s="64"/>
      <c r="L151" s="64"/>
      <c r="M151" s="64"/>
      <c r="N151" s="64"/>
    </row>
    <row r="152" spans="2:14" s="93" customFormat="1">
      <c r="B152" s="90"/>
      <c r="C152" s="90"/>
      <c r="D152" s="91"/>
      <c r="E152" s="91"/>
      <c r="F152" s="91"/>
      <c r="G152" s="92"/>
      <c r="H152" s="64"/>
      <c r="I152" s="64"/>
      <c r="J152" s="64"/>
      <c r="K152" s="64"/>
      <c r="L152" s="64"/>
      <c r="M152" s="64"/>
      <c r="N152" s="64"/>
    </row>
    <row r="153" spans="2:14" s="93" customFormat="1">
      <c r="B153" s="90"/>
      <c r="C153" s="90"/>
      <c r="D153" s="91"/>
      <c r="E153" s="91"/>
      <c r="F153" s="91"/>
      <c r="G153" s="92"/>
      <c r="H153" s="64"/>
      <c r="I153" s="64"/>
      <c r="J153" s="64"/>
      <c r="K153" s="64"/>
      <c r="L153" s="64"/>
      <c r="M153" s="64"/>
      <c r="N153" s="64"/>
    </row>
    <row r="154" spans="2:14" s="93" customFormat="1">
      <c r="B154" s="90"/>
      <c r="C154" s="90"/>
      <c r="D154" s="91"/>
      <c r="E154" s="91"/>
      <c r="F154" s="91"/>
      <c r="G154" s="92"/>
      <c r="H154" s="64"/>
      <c r="I154" s="64"/>
      <c r="J154" s="64"/>
      <c r="K154" s="64"/>
      <c r="L154" s="64"/>
      <c r="M154" s="64"/>
      <c r="N154" s="64"/>
    </row>
    <row r="155" spans="2:14" s="93" customFormat="1">
      <c r="B155" s="90"/>
      <c r="C155" s="90"/>
      <c r="D155" s="91"/>
      <c r="E155" s="91"/>
      <c r="F155" s="91"/>
      <c r="G155" s="92"/>
      <c r="H155" s="64"/>
      <c r="I155" s="64"/>
      <c r="J155" s="64"/>
      <c r="K155" s="64"/>
      <c r="L155" s="64"/>
      <c r="M155" s="64"/>
      <c r="N155" s="64"/>
    </row>
    <row r="156" spans="2:14" s="93" customFormat="1">
      <c r="B156" s="90"/>
      <c r="C156" s="90"/>
      <c r="D156" s="91"/>
      <c r="E156" s="91"/>
      <c r="F156" s="91"/>
      <c r="G156" s="92"/>
      <c r="H156" s="64"/>
      <c r="I156" s="64"/>
      <c r="J156" s="64"/>
      <c r="K156" s="64"/>
      <c r="L156" s="64"/>
      <c r="M156" s="64"/>
      <c r="N156" s="64"/>
    </row>
    <row r="157" spans="2:14" s="93" customFormat="1">
      <c r="B157" s="90"/>
      <c r="C157" s="90"/>
      <c r="D157" s="91"/>
      <c r="E157" s="91"/>
      <c r="F157" s="91"/>
      <c r="G157" s="92"/>
      <c r="H157" s="64"/>
      <c r="I157" s="64"/>
      <c r="J157" s="64"/>
      <c r="K157" s="64"/>
      <c r="L157" s="64"/>
      <c r="M157" s="64"/>
      <c r="N157" s="64"/>
    </row>
    <row r="158" spans="2:14" s="93" customFormat="1">
      <c r="B158" s="90"/>
      <c r="C158" s="90"/>
      <c r="D158" s="91"/>
      <c r="E158" s="91"/>
      <c r="F158" s="91"/>
      <c r="G158" s="92"/>
      <c r="H158" s="64"/>
      <c r="I158" s="64"/>
      <c r="J158" s="64"/>
      <c r="K158" s="64"/>
      <c r="L158" s="64"/>
      <c r="M158" s="64"/>
      <c r="N158" s="64"/>
    </row>
    <row r="159" spans="2:14" s="93" customFormat="1">
      <c r="B159" s="90"/>
      <c r="C159" s="90"/>
      <c r="D159" s="91"/>
      <c r="E159" s="91"/>
      <c r="F159" s="91"/>
      <c r="G159" s="92"/>
      <c r="H159" s="64"/>
      <c r="I159" s="64"/>
      <c r="J159" s="64"/>
      <c r="K159" s="64"/>
      <c r="L159" s="64"/>
      <c r="M159" s="64"/>
      <c r="N159" s="64"/>
    </row>
    <row r="160" spans="2:14" s="93" customFormat="1">
      <c r="B160" s="90"/>
      <c r="C160" s="90"/>
      <c r="D160" s="91"/>
      <c r="E160" s="91"/>
      <c r="F160" s="91"/>
      <c r="G160" s="92"/>
      <c r="H160" s="64"/>
      <c r="I160" s="64"/>
      <c r="J160" s="64"/>
      <c r="K160" s="64"/>
      <c r="L160" s="64"/>
      <c r="M160" s="64"/>
      <c r="N160" s="64"/>
    </row>
    <row r="161" spans="2:14" s="93" customFormat="1">
      <c r="B161" s="90"/>
      <c r="C161" s="90"/>
      <c r="D161" s="91"/>
      <c r="E161" s="91"/>
      <c r="F161" s="91"/>
      <c r="G161" s="92"/>
      <c r="H161" s="64"/>
      <c r="I161" s="64"/>
      <c r="J161" s="64"/>
      <c r="K161" s="64"/>
      <c r="L161" s="64"/>
      <c r="M161" s="64"/>
      <c r="N161" s="64"/>
    </row>
    <row r="162" spans="2:14" s="93" customFormat="1">
      <c r="B162" s="90"/>
      <c r="C162" s="90"/>
      <c r="D162" s="91"/>
      <c r="E162" s="91"/>
      <c r="F162" s="91"/>
      <c r="G162" s="92"/>
      <c r="H162" s="64"/>
      <c r="I162" s="64"/>
      <c r="J162" s="64"/>
      <c r="K162" s="64"/>
      <c r="L162" s="64"/>
      <c r="M162" s="64"/>
      <c r="N162" s="64"/>
    </row>
    <row r="163" spans="2:14" s="93" customFormat="1">
      <c r="B163" s="90"/>
      <c r="C163" s="90"/>
      <c r="D163" s="91"/>
      <c r="E163" s="91"/>
      <c r="F163" s="91"/>
      <c r="G163" s="92"/>
      <c r="H163" s="64"/>
      <c r="I163" s="64"/>
      <c r="J163" s="64"/>
      <c r="K163" s="64"/>
      <c r="L163" s="64"/>
      <c r="M163" s="64"/>
      <c r="N163" s="64"/>
    </row>
    <row r="164" spans="2:14" s="93" customFormat="1">
      <c r="B164" s="90"/>
      <c r="C164" s="90"/>
      <c r="D164" s="91"/>
      <c r="E164" s="91"/>
      <c r="F164" s="91"/>
      <c r="G164" s="92"/>
      <c r="H164" s="64"/>
      <c r="I164" s="64"/>
      <c r="J164" s="64"/>
      <c r="K164" s="64"/>
      <c r="L164" s="64"/>
      <c r="M164" s="64"/>
      <c r="N164" s="64"/>
    </row>
    <row r="165" spans="2:14" s="93" customFormat="1">
      <c r="B165" s="90"/>
      <c r="C165" s="90"/>
      <c r="D165" s="91"/>
      <c r="E165" s="91"/>
      <c r="F165" s="91"/>
      <c r="G165" s="92"/>
      <c r="H165" s="64"/>
      <c r="I165" s="64"/>
      <c r="J165" s="64"/>
      <c r="K165" s="64"/>
      <c r="L165" s="64"/>
      <c r="M165" s="64"/>
      <c r="N165" s="64"/>
    </row>
    <row r="166" spans="2:14" s="93" customFormat="1">
      <c r="B166" s="90"/>
      <c r="C166" s="90"/>
      <c r="D166" s="91"/>
      <c r="E166" s="91"/>
      <c r="F166" s="91"/>
      <c r="G166" s="92"/>
      <c r="H166" s="64"/>
      <c r="I166" s="64"/>
      <c r="J166" s="64"/>
      <c r="K166" s="64"/>
      <c r="L166" s="64"/>
      <c r="M166" s="64"/>
      <c r="N166" s="64"/>
    </row>
    <row r="167" spans="2:14" s="93" customFormat="1">
      <c r="B167" s="90"/>
      <c r="C167" s="90"/>
      <c r="D167" s="91"/>
      <c r="E167" s="91"/>
      <c r="F167" s="91"/>
      <c r="G167" s="92"/>
      <c r="H167" s="64"/>
      <c r="I167" s="64"/>
      <c r="J167" s="64"/>
      <c r="K167" s="64"/>
      <c r="L167" s="64"/>
      <c r="M167" s="64"/>
      <c r="N167" s="64"/>
    </row>
    <row r="168" spans="2:14" s="93" customFormat="1">
      <c r="B168" s="94"/>
      <c r="C168" s="94"/>
      <c r="G168" s="64"/>
      <c r="H168" s="64"/>
      <c r="I168" s="64"/>
      <c r="J168" s="64"/>
      <c r="K168" s="64"/>
      <c r="L168" s="64"/>
      <c r="M168" s="64"/>
      <c r="N168" s="64"/>
    </row>
    <row r="169" spans="2:14" s="93" customFormat="1">
      <c r="B169" s="94"/>
      <c r="C169" s="94"/>
      <c r="G169" s="64"/>
      <c r="H169" s="64"/>
      <c r="I169" s="64"/>
      <c r="J169" s="64"/>
      <c r="K169" s="64"/>
      <c r="L169" s="64"/>
      <c r="M169" s="64"/>
      <c r="N169" s="64"/>
    </row>
    <row r="170" spans="2:14" s="93" customFormat="1">
      <c r="B170" s="94"/>
      <c r="C170" s="94"/>
      <c r="G170" s="64"/>
      <c r="H170" s="64"/>
      <c r="I170" s="64"/>
      <c r="J170" s="64"/>
      <c r="K170" s="64"/>
      <c r="L170" s="64"/>
      <c r="M170" s="64"/>
      <c r="N170" s="64"/>
    </row>
    <row r="171" spans="2:14" s="93" customFormat="1">
      <c r="B171" s="94"/>
      <c r="C171" s="94"/>
      <c r="G171" s="64"/>
      <c r="H171" s="64"/>
      <c r="I171" s="64"/>
      <c r="J171" s="64"/>
      <c r="K171" s="64"/>
      <c r="L171" s="64"/>
      <c r="M171" s="64"/>
      <c r="N171" s="64"/>
    </row>
    <row r="172" spans="2:14" s="93" customFormat="1">
      <c r="B172" s="94"/>
      <c r="C172" s="94"/>
      <c r="G172" s="64"/>
      <c r="H172" s="64"/>
      <c r="I172" s="64"/>
      <c r="J172" s="64"/>
      <c r="K172" s="64"/>
      <c r="L172" s="64"/>
      <c r="M172" s="64"/>
      <c r="N172" s="64"/>
    </row>
    <row r="173" spans="2:14" s="93" customFormat="1">
      <c r="B173" s="94"/>
      <c r="C173" s="94"/>
      <c r="G173" s="64"/>
      <c r="H173" s="64"/>
      <c r="I173" s="64"/>
      <c r="J173" s="64"/>
      <c r="K173" s="64"/>
      <c r="L173" s="64"/>
      <c r="M173" s="64"/>
      <c r="N173" s="64"/>
    </row>
    <row r="174" spans="2:14" s="93" customFormat="1">
      <c r="B174" s="94"/>
      <c r="C174" s="94"/>
      <c r="G174" s="64"/>
      <c r="H174" s="64"/>
      <c r="I174" s="64"/>
      <c r="J174" s="64"/>
      <c r="K174" s="64"/>
      <c r="L174" s="64"/>
      <c r="M174" s="64"/>
      <c r="N174" s="64"/>
    </row>
    <row r="175" spans="2:14" s="93" customFormat="1">
      <c r="B175" s="94"/>
      <c r="C175" s="94"/>
      <c r="G175" s="64"/>
      <c r="H175" s="64"/>
      <c r="I175" s="64"/>
      <c r="J175" s="64"/>
      <c r="K175" s="64"/>
      <c r="L175" s="64"/>
      <c r="M175" s="64"/>
      <c r="N175" s="64"/>
    </row>
    <row r="176" spans="2:14" s="93" customFormat="1">
      <c r="B176" s="94"/>
      <c r="C176" s="94"/>
      <c r="G176" s="64"/>
      <c r="H176" s="64"/>
      <c r="I176" s="64"/>
      <c r="J176" s="64"/>
      <c r="K176" s="64"/>
      <c r="L176" s="64"/>
      <c r="M176" s="64"/>
      <c r="N176" s="64"/>
    </row>
    <row r="177" spans="2:14" s="93" customFormat="1">
      <c r="B177" s="94"/>
      <c r="C177" s="94"/>
      <c r="G177" s="64"/>
      <c r="H177" s="64"/>
      <c r="I177" s="64"/>
      <c r="J177" s="64"/>
      <c r="K177" s="64"/>
      <c r="L177" s="64"/>
      <c r="M177" s="64"/>
      <c r="N177" s="64"/>
    </row>
    <row r="178" spans="2:14" s="93" customFormat="1">
      <c r="B178" s="94"/>
      <c r="C178" s="94"/>
      <c r="G178" s="64"/>
      <c r="H178" s="64"/>
      <c r="I178" s="64"/>
      <c r="J178" s="64"/>
      <c r="K178" s="64"/>
      <c r="L178" s="64"/>
      <c r="M178" s="64"/>
      <c r="N178" s="64"/>
    </row>
    <row r="179" spans="2:14" s="93" customFormat="1">
      <c r="B179" s="94"/>
      <c r="C179" s="94"/>
      <c r="G179" s="64"/>
      <c r="H179" s="64"/>
      <c r="I179" s="64"/>
      <c r="J179" s="64"/>
      <c r="K179" s="64"/>
      <c r="L179" s="64"/>
      <c r="M179" s="64"/>
      <c r="N179" s="64"/>
    </row>
    <row r="180" spans="2:14" s="93" customFormat="1">
      <c r="B180" s="94"/>
      <c r="C180" s="94"/>
      <c r="G180" s="64"/>
      <c r="H180" s="64"/>
      <c r="I180" s="64"/>
      <c r="J180" s="64"/>
      <c r="K180" s="64"/>
      <c r="L180" s="64"/>
      <c r="M180" s="64"/>
      <c r="N180" s="64"/>
    </row>
    <row r="181" spans="2:14" s="93" customFormat="1">
      <c r="B181" s="94"/>
      <c r="C181" s="94"/>
      <c r="G181" s="64"/>
      <c r="H181" s="64"/>
      <c r="I181" s="64"/>
      <c r="J181" s="64"/>
      <c r="K181" s="64"/>
      <c r="L181" s="64"/>
      <c r="M181" s="64"/>
      <c r="N181" s="64"/>
    </row>
    <row r="182" spans="2:14" s="93" customFormat="1">
      <c r="B182" s="94"/>
      <c r="C182" s="94"/>
      <c r="G182" s="64"/>
      <c r="H182" s="64"/>
      <c r="I182" s="64"/>
      <c r="J182" s="64"/>
      <c r="K182" s="64"/>
      <c r="L182" s="64"/>
      <c r="M182" s="64"/>
      <c r="N182" s="64"/>
    </row>
    <row r="183" spans="2:14" s="93" customFormat="1">
      <c r="B183" s="94"/>
      <c r="C183" s="94"/>
      <c r="G183" s="64"/>
      <c r="H183" s="64"/>
      <c r="I183" s="64"/>
      <c r="J183" s="64"/>
      <c r="K183" s="64"/>
      <c r="L183" s="64"/>
      <c r="M183" s="64"/>
      <c r="N183" s="64"/>
    </row>
    <row r="184" spans="2:14" s="93" customFormat="1">
      <c r="B184" s="94"/>
      <c r="C184" s="94"/>
      <c r="G184" s="64"/>
      <c r="H184" s="64"/>
      <c r="I184" s="64"/>
      <c r="J184" s="64"/>
      <c r="K184" s="64"/>
      <c r="L184" s="64"/>
      <c r="M184" s="64"/>
      <c r="N184" s="64"/>
    </row>
    <row r="185" spans="2:14" s="93" customFormat="1">
      <c r="B185" s="94"/>
      <c r="C185" s="94"/>
      <c r="G185" s="64"/>
      <c r="H185" s="64"/>
      <c r="I185" s="64"/>
      <c r="J185" s="64"/>
      <c r="K185" s="64"/>
      <c r="L185" s="64"/>
      <c r="M185" s="64"/>
      <c r="N185" s="64"/>
    </row>
    <row r="186" spans="2:14" s="93" customFormat="1">
      <c r="B186" s="94"/>
      <c r="C186" s="94"/>
      <c r="G186" s="64"/>
      <c r="H186" s="64"/>
      <c r="I186" s="64"/>
      <c r="J186" s="64"/>
      <c r="K186" s="64"/>
      <c r="L186" s="64"/>
      <c r="M186" s="64"/>
      <c r="N186" s="64"/>
    </row>
    <row r="187" spans="2:14" s="93" customFormat="1">
      <c r="B187" s="94"/>
      <c r="C187" s="94"/>
      <c r="G187" s="64"/>
      <c r="H187" s="64"/>
      <c r="I187" s="64"/>
      <c r="J187" s="64"/>
      <c r="K187" s="64"/>
      <c r="L187" s="64"/>
      <c r="M187" s="64"/>
      <c r="N187" s="64"/>
    </row>
    <row r="188" spans="2:14" s="93" customFormat="1">
      <c r="B188" s="94"/>
      <c r="C188" s="94"/>
      <c r="G188" s="64"/>
      <c r="H188" s="64"/>
      <c r="I188" s="64"/>
      <c r="J188" s="64"/>
      <c r="K188" s="64"/>
      <c r="L188" s="64"/>
      <c r="M188" s="64"/>
      <c r="N188" s="64"/>
    </row>
    <row r="189" spans="2:14" s="93" customFormat="1">
      <c r="B189" s="94"/>
      <c r="C189" s="94"/>
      <c r="G189" s="64"/>
      <c r="H189" s="64"/>
      <c r="I189" s="64"/>
      <c r="J189" s="64"/>
      <c r="K189" s="64"/>
      <c r="L189" s="64"/>
      <c r="M189" s="64"/>
      <c r="N189" s="64"/>
    </row>
    <row r="190" spans="2:14" s="93" customFormat="1">
      <c r="B190" s="94"/>
      <c r="C190" s="94"/>
      <c r="G190" s="64"/>
      <c r="H190" s="64"/>
      <c r="I190" s="64"/>
      <c r="J190" s="64"/>
      <c r="K190" s="64"/>
      <c r="L190" s="64"/>
      <c r="M190" s="64"/>
      <c r="N190" s="64"/>
    </row>
    <row r="191" spans="2:14" s="93" customFormat="1">
      <c r="B191" s="94"/>
      <c r="C191" s="94"/>
      <c r="G191" s="64"/>
      <c r="H191" s="64"/>
      <c r="I191" s="64"/>
      <c r="J191" s="64"/>
      <c r="K191" s="64"/>
      <c r="L191" s="64"/>
      <c r="M191" s="64"/>
      <c r="N191" s="64"/>
    </row>
    <row r="192" spans="2:14" s="93" customFormat="1">
      <c r="B192" s="94"/>
      <c r="C192" s="94"/>
      <c r="G192" s="64"/>
      <c r="H192" s="64"/>
      <c r="I192" s="64"/>
      <c r="J192" s="64"/>
      <c r="K192" s="64"/>
      <c r="L192" s="64"/>
      <c r="M192" s="64"/>
      <c r="N192" s="64"/>
    </row>
    <row r="193" spans="2:14" s="93" customFormat="1">
      <c r="B193" s="94"/>
      <c r="C193" s="94"/>
      <c r="G193" s="64"/>
      <c r="H193" s="64"/>
      <c r="I193" s="64"/>
      <c r="J193" s="64"/>
      <c r="K193" s="64"/>
      <c r="L193" s="64"/>
      <c r="M193" s="64"/>
      <c r="N193" s="64"/>
    </row>
    <row r="194" spans="2:14" s="93" customFormat="1">
      <c r="B194" s="94"/>
      <c r="C194" s="94"/>
      <c r="G194" s="64"/>
      <c r="H194" s="64"/>
      <c r="I194" s="64"/>
      <c r="J194" s="64"/>
      <c r="K194" s="64"/>
      <c r="L194" s="64"/>
      <c r="M194" s="64"/>
      <c r="N194" s="64"/>
    </row>
    <row r="195" spans="2:14" s="93" customFormat="1">
      <c r="B195" s="94"/>
      <c r="C195" s="94"/>
      <c r="G195" s="64"/>
      <c r="H195" s="64"/>
      <c r="I195" s="64"/>
      <c r="J195" s="64"/>
      <c r="K195" s="64"/>
      <c r="L195" s="64"/>
      <c r="M195" s="64"/>
      <c r="N195" s="64"/>
    </row>
    <row r="196" spans="2:14" s="93" customFormat="1">
      <c r="B196" s="94"/>
      <c r="C196" s="94"/>
      <c r="G196" s="64"/>
      <c r="H196" s="64"/>
      <c r="I196" s="64"/>
      <c r="J196" s="64"/>
      <c r="K196" s="64"/>
      <c r="L196" s="64"/>
      <c r="M196" s="64"/>
      <c r="N196" s="64"/>
    </row>
    <row r="197" spans="2:14" s="93" customFormat="1">
      <c r="B197" s="94"/>
      <c r="G197" s="64"/>
      <c r="H197" s="64"/>
      <c r="I197" s="64"/>
      <c r="J197" s="64"/>
      <c r="K197" s="64"/>
      <c r="L197" s="64"/>
      <c r="M197" s="64"/>
      <c r="N197" s="64"/>
    </row>
    <row r="198" spans="2:14" s="93" customFormat="1">
      <c r="B198" s="94"/>
      <c r="G198" s="64"/>
      <c r="H198" s="64"/>
      <c r="I198" s="64"/>
      <c r="J198" s="64"/>
      <c r="K198" s="64"/>
      <c r="L198" s="64"/>
      <c r="M198" s="64"/>
      <c r="N198" s="64"/>
    </row>
    <row r="199" spans="2:14" s="93" customFormat="1">
      <c r="B199" s="94"/>
      <c r="G199" s="64"/>
      <c r="H199" s="64"/>
      <c r="I199" s="64"/>
      <c r="J199" s="64"/>
      <c r="K199" s="64"/>
      <c r="L199" s="64"/>
      <c r="M199" s="64"/>
      <c r="N199" s="64"/>
    </row>
    <row r="200" spans="2:14" s="93" customFormat="1">
      <c r="B200" s="94"/>
      <c r="G200" s="64"/>
      <c r="H200" s="64"/>
      <c r="I200" s="64"/>
      <c r="J200" s="64"/>
      <c r="K200" s="64"/>
      <c r="L200" s="64"/>
      <c r="M200" s="64"/>
      <c r="N200" s="64"/>
    </row>
    <row r="201" spans="2:14" s="93" customFormat="1">
      <c r="B201" s="94"/>
      <c r="G201" s="64"/>
      <c r="H201" s="64"/>
      <c r="I201" s="64"/>
      <c r="J201" s="64"/>
      <c r="K201" s="64"/>
      <c r="L201" s="64"/>
      <c r="M201" s="64"/>
      <c r="N201" s="64"/>
    </row>
    <row r="202" spans="2:14" s="93" customFormat="1">
      <c r="B202" s="94"/>
      <c r="G202" s="64"/>
      <c r="H202" s="64"/>
      <c r="I202" s="64"/>
      <c r="J202" s="64"/>
      <c r="K202" s="64"/>
      <c r="L202" s="64"/>
      <c r="M202" s="64"/>
      <c r="N202" s="64"/>
    </row>
    <row r="203" spans="2:14" s="93" customFormat="1">
      <c r="B203" s="94"/>
      <c r="G203" s="64"/>
      <c r="H203" s="64"/>
      <c r="I203" s="64"/>
      <c r="J203" s="64"/>
      <c r="K203" s="64"/>
      <c r="L203" s="64"/>
      <c r="M203" s="64"/>
      <c r="N203" s="64"/>
    </row>
    <row r="204" spans="2:14" s="93" customFormat="1">
      <c r="B204" s="94"/>
      <c r="G204" s="64"/>
      <c r="H204" s="64"/>
      <c r="I204" s="64"/>
      <c r="J204" s="64"/>
      <c r="K204" s="64"/>
      <c r="L204" s="64"/>
      <c r="M204" s="64"/>
      <c r="N204" s="64"/>
    </row>
    <row r="205" spans="2:14" s="93" customFormat="1">
      <c r="B205" s="94"/>
      <c r="G205" s="64"/>
      <c r="H205" s="64"/>
      <c r="I205" s="64"/>
      <c r="J205" s="64"/>
      <c r="K205" s="64"/>
      <c r="L205" s="64"/>
      <c r="M205" s="64"/>
      <c r="N205" s="64"/>
    </row>
    <row r="206" spans="2:14" s="93" customFormat="1">
      <c r="B206" s="94"/>
      <c r="G206" s="64"/>
      <c r="H206" s="64"/>
      <c r="I206" s="64"/>
      <c r="J206" s="64"/>
      <c r="K206" s="64"/>
      <c r="L206" s="64"/>
      <c r="M206" s="64"/>
      <c r="N206" s="64"/>
    </row>
    <row r="207" spans="2:14" s="93" customFormat="1">
      <c r="B207" s="94"/>
      <c r="G207" s="64"/>
      <c r="H207" s="64"/>
      <c r="I207" s="64"/>
      <c r="J207" s="64"/>
      <c r="K207" s="64"/>
      <c r="L207" s="64"/>
      <c r="M207" s="64"/>
      <c r="N207" s="64"/>
    </row>
    <row r="208" spans="2:14" s="93" customFormat="1">
      <c r="B208" s="94"/>
      <c r="G208" s="64"/>
      <c r="H208" s="64"/>
      <c r="I208" s="64"/>
      <c r="J208" s="64"/>
      <c r="K208" s="64"/>
      <c r="L208" s="64"/>
      <c r="M208" s="64"/>
      <c r="N208" s="64"/>
    </row>
    <row r="209" spans="2:14" s="93" customFormat="1">
      <c r="B209" s="94"/>
      <c r="G209" s="64"/>
      <c r="H209" s="64"/>
      <c r="I209" s="64"/>
      <c r="J209" s="64"/>
      <c r="K209" s="64"/>
      <c r="L209" s="64"/>
      <c r="M209" s="64"/>
      <c r="N209" s="64"/>
    </row>
    <row r="210" spans="2:14" s="93" customFormat="1">
      <c r="B210" s="94"/>
      <c r="G210" s="64"/>
      <c r="H210" s="64"/>
      <c r="I210" s="64"/>
      <c r="J210" s="64"/>
      <c r="K210" s="64"/>
      <c r="L210" s="64"/>
      <c r="M210" s="64"/>
      <c r="N210" s="64"/>
    </row>
    <row r="211" spans="2:14" s="93" customFormat="1">
      <c r="B211" s="94"/>
      <c r="G211" s="64"/>
      <c r="H211" s="64"/>
      <c r="I211" s="64"/>
      <c r="J211" s="64"/>
      <c r="K211" s="64"/>
      <c r="L211" s="64"/>
      <c r="M211" s="64"/>
      <c r="N211" s="64"/>
    </row>
    <row r="212" spans="2:14" s="93" customFormat="1">
      <c r="B212" s="94"/>
      <c r="G212" s="64"/>
      <c r="H212" s="64"/>
      <c r="I212" s="64"/>
      <c r="J212" s="64"/>
      <c r="K212" s="64"/>
      <c r="L212" s="64"/>
      <c r="M212" s="64"/>
      <c r="N212" s="64"/>
    </row>
    <row r="213" spans="2:14" s="93" customFormat="1">
      <c r="B213" s="94"/>
      <c r="G213" s="64"/>
      <c r="H213" s="64"/>
      <c r="I213" s="64"/>
      <c r="J213" s="64"/>
      <c r="K213" s="64"/>
      <c r="L213" s="64"/>
      <c r="M213" s="64"/>
      <c r="N213" s="64"/>
    </row>
    <row r="214" spans="2:14" s="93" customFormat="1">
      <c r="B214" s="94"/>
      <c r="G214" s="64"/>
      <c r="H214" s="64"/>
      <c r="I214" s="64"/>
      <c r="J214" s="64"/>
      <c r="K214" s="64"/>
      <c r="L214" s="64"/>
      <c r="M214" s="64"/>
      <c r="N214" s="64"/>
    </row>
    <row r="215" spans="2:14" s="93" customFormat="1">
      <c r="B215" s="94"/>
      <c r="G215" s="64"/>
      <c r="H215" s="64"/>
      <c r="I215" s="64"/>
      <c r="J215" s="64"/>
      <c r="K215" s="64"/>
      <c r="L215" s="64"/>
      <c r="M215" s="64"/>
      <c r="N215" s="64"/>
    </row>
    <row r="216" spans="2:14" s="93" customFormat="1">
      <c r="B216" s="94"/>
      <c r="G216" s="64"/>
      <c r="H216" s="64"/>
      <c r="I216" s="64"/>
      <c r="J216" s="64"/>
      <c r="K216" s="64"/>
      <c r="L216" s="64"/>
      <c r="M216" s="64"/>
      <c r="N216" s="64"/>
    </row>
    <row r="217" spans="2:14" s="93" customFormat="1">
      <c r="B217" s="94"/>
      <c r="G217" s="64"/>
      <c r="H217" s="64"/>
      <c r="I217" s="64"/>
      <c r="J217" s="64"/>
      <c r="K217" s="64"/>
      <c r="L217" s="64"/>
      <c r="M217" s="64"/>
      <c r="N217" s="64"/>
    </row>
    <row r="218" spans="2:14" s="93" customFormat="1">
      <c r="B218" s="94"/>
      <c r="G218" s="64"/>
      <c r="H218" s="64"/>
      <c r="I218" s="64"/>
      <c r="J218" s="64"/>
      <c r="K218" s="64"/>
      <c r="L218" s="64"/>
      <c r="M218" s="64"/>
      <c r="N218" s="64"/>
    </row>
    <row r="219" spans="2:14" s="93" customFormat="1">
      <c r="B219" s="94"/>
      <c r="G219" s="64"/>
      <c r="H219" s="64"/>
      <c r="I219" s="64"/>
      <c r="J219" s="64"/>
      <c r="K219" s="64"/>
      <c r="L219" s="64"/>
      <c r="M219" s="64"/>
      <c r="N219" s="64"/>
    </row>
    <row r="220" spans="2:14" s="93" customFormat="1">
      <c r="B220" s="94"/>
      <c r="G220" s="64"/>
      <c r="H220" s="64"/>
      <c r="I220" s="64"/>
      <c r="J220" s="64"/>
      <c r="K220" s="64"/>
      <c r="L220" s="64"/>
      <c r="M220" s="64"/>
      <c r="N220" s="64"/>
    </row>
    <row r="221" spans="2:14" s="93" customFormat="1">
      <c r="B221" s="94"/>
      <c r="G221" s="64"/>
      <c r="H221" s="64"/>
      <c r="I221" s="64"/>
      <c r="J221" s="64"/>
      <c r="K221" s="64"/>
      <c r="L221" s="64"/>
      <c r="M221" s="64"/>
      <c r="N221" s="64"/>
    </row>
    <row r="222" spans="2:14" s="93" customFormat="1">
      <c r="B222" s="94"/>
      <c r="G222" s="64"/>
      <c r="H222" s="64"/>
      <c r="I222" s="64"/>
      <c r="J222" s="64"/>
      <c r="K222" s="64"/>
      <c r="L222" s="64"/>
      <c r="M222" s="64"/>
      <c r="N222" s="64"/>
    </row>
    <row r="223" spans="2:14" s="93" customFormat="1">
      <c r="B223" s="94"/>
      <c r="G223" s="64"/>
      <c r="H223" s="64"/>
      <c r="I223" s="64"/>
      <c r="J223" s="64"/>
      <c r="K223" s="64"/>
      <c r="L223" s="64"/>
      <c r="M223" s="64"/>
      <c r="N223" s="64"/>
    </row>
    <row r="224" spans="2:14" s="93" customFormat="1">
      <c r="B224" s="94"/>
      <c r="G224" s="64"/>
      <c r="H224" s="64"/>
      <c r="I224" s="64"/>
      <c r="J224" s="64"/>
      <c r="K224" s="64"/>
      <c r="L224" s="64"/>
      <c r="M224" s="64"/>
      <c r="N224" s="64"/>
    </row>
    <row r="225" spans="2:14" s="93" customFormat="1">
      <c r="B225" s="94"/>
      <c r="G225" s="64"/>
      <c r="H225" s="64"/>
      <c r="I225" s="64"/>
      <c r="J225" s="64"/>
      <c r="K225" s="64"/>
      <c r="L225" s="64"/>
      <c r="M225" s="64"/>
      <c r="N225" s="64"/>
    </row>
    <row r="226" spans="2:14" s="93" customFormat="1">
      <c r="B226" s="94"/>
      <c r="G226" s="64"/>
      <c r="H226" s="64"/>
      <c r="I226" s="64"/>
      <c r="J226" s="64"/>
      <c r="K226" s="64"/>
      <c r="L226" s="64"/>
      <c r="M226" s="64"/>
      <c r="N226" s="64"/>
    </row>
    <row r="227" spans="2:14" s="93" customFormat="1">
      <c r="B227" s="94"/>
      <c r="G227" s="64"/>
      <c r="H227" s="64"/>
      <c r="I227" s="64"/>
      <c r="J227" s="64"/>
      <c r="K227" s="64"/>
      <c r="L227" s="64"/>
      <c r="M227" s="64"/>
      <c r="N227" s="64"/>
    </row>
    <row r="228" spans="2:14" s="93" customFormat="1">
      <c r="B228" s="94"/>
      <c r="G228" s="64"/>
      <c r="H228" s="64"/>
      <c r="I228" s="64"/>
      <c r="J228" s="64"/>
      <c r="K228" s="64"/>
      <c r="L228" s="64"/>
      <c r="M228" s="64"/>
      <c r="N228" s="64"/>
    </row>
    <row r="229" spans="2:14" s="93" customFormat="1">
      <c r="B229" s="94"/>
      <c r="G229" s="64"/>
      <c r="H229" s="64"/>
      <c r="I229" s="64"/>
      <c r="J229" s="64"/>
      <c r="K229" s="64"/>
      <c r="L229" s="64"/>
      <c r="M229" s="64"/>
      <c r="N229" s="64"/>
    </row>
    <row r="230" spans="2:14" s="93" customFormat="1">
      <c r="B230" s="94"/>
      <c r="G230" s="64"/>
      <c r="H230" s="64"/>
      <c r="I230" s="64"/>
      <c r="J230" s="64"/>
      <c r="K230" s="64"/>
      <c r="L230" s="64"/>
      <c r="M230" s="64"/>
      <c r="N230" s="64"/>
    </row>
    <row r="231" spans="2:14" s="93" customFormat="1">
      <c r="B231" s="94"/>
      <c r="G231" s="64"/>
      <c r="H231" s="64"/>
      <c r="I231" s="64"/>
      <c r="J231" s="64"/>
      <c r="K231" s="64"/>
      <c r="L231" s="64"/>
      <c r="M231" s="64"/>
      <c r="N231" s="64"/>
    </row>
    <row r="232" spans="2:14" s="93" customFormat="1">
      <c r="B232" s="94"/>
      <c r="G232" s="64"/>
      <c r="H232" s="64"/>
      <c r="I232" s="64"/>
      <c r="J232" s="64"/>
      <c r="K232" s="64"/>
      <c r="L232" s="64"/>
      <c r="M232" s="64"/>
      <c r="N232" s="64"/>
    </row>
    <row r="233" spans="2:14" s="93" customFormat="1">
      <c r="B233" s="94"/>
      <c r="G233" s="64"/>
      <c r="H233" s="64"/>
      <c r="I233" s="64"/>
      <c r="J233" s="64"/>
      <c r="K233" s="64"/>
      <c r="L233" s="64"/>
      <c r="M233" s="64"/>
      <c r="N233" s="64"/>
    </row>
    <row r="234" spans="2:14" s="93" customFormat="1">
      <c r="B234" s="94"/>
      <c r="G234" s="64"/>
      <c r="H234" s="64"/>
      <c r="I234" s="64"/>
      <c r="J234" s="64"/>
      <c r="K234" s="64"/>
      <c r="L234" s="64"/>
      <c r="M234" s="64"/>
      <c r="N234" s="64"/>
    </row>
    <row r="235" spans="2:14" s="93" customFormat="1">
      <c r="B235" s="94"/>
      <c r="G235" s="64"/>
      <c r="H235" s="64"/>
      <c r="I235" s="64"/>
      <c r="J235" s="64"/>
      <c r="K235" s="64"/>
      <c r="L235" s="64"/>
      <c r="M235" s="64"/>
      <c r="N235" s="64"/>
    </row>
    <row r="236" spans="2:14" s="93" customFormat="1">
      <c r="B236" s="94"/>
      <c r="G236" s="64"/>
      <c r="H236" s="64"/>
      <c r="I236" s="64"/>
      <c r="J236" s="64"/>
      <c r="K236" s="64"/>
      <c r="L236" s="64"/>
      <c r="M236" s="64"/>
      <c r="N236" s="64"/>
    </row>
    <row r="237" spans="2:14" s="93" customFormat="1">
      <c r="B237" s="94"/>
      <c r="G237" s="64"/>
      <c r="H237" s="64"/>
      <c r="I237" s="64"/>
      <c r="J237" s="64"/>
      <c r="K237" s="64"/>
      <c r="L237" s="64"/>
      <c r="M237" s="64"/>
      <c r="N237" s="64"/>
    </row>
    <row r="238" spans="2:14" s="93" customFormat="1">
      <c r="B238" s="94"/>
      <c r="G238" s="64"/>
      <c r="H238" s="64"/>
      <c r="I238" s="64"/>
      <c r="J238" s="64"/>
      <c r="K238" s="64"/>
      <c r="L238" s="64"/>
      <c r="M238" s="64"/>
      <c r="N238" s="64"/>
    </row>
    <row r="239" spans="2:14" s="93" customFormat="1">
      <c r="B239" s="94"/>
      <c r="G239" s="64"/>
      <c r="H239" s="64"/>
      <c r="I239" s="64"/>
      <c r="J239" s="64"/>
      <c r="K239" s="64"/>
      <c r="L239" s="64"/>
      <c r="M239" s="64"/>
      <c r="N239" s="64"/>
    </row>
    <row r="240" spans="2:14" s="93" customFormat="1">
      <c r="B240" s="94"/>
      <c r="G240" s="64"/>
      <c r="H240" s="64"/>
      <c r="I240" s="64"/>
      <c r="J240" s="64"/>
      <c r="K240" s="64"/>
      <c r="L240" s="64"/>
      <c r="M240" s="64"/>
      <c r="N240" s="64"/>
    </row>
    <row r="241" spans="2:14" s="93" customFormat="1">
      <c r="B241" s="94"/>
      <c r="G241" s="64"/>
      <c r="H241" s="64"/>
      <c r="I241" s="64"/>
      <c r="J241" s="64"/>
      <c r="K241" s="64"/>
      <c r="L241" s="64"/>
      <c r="M241" s="64"/>
      <c r="N241" s="64"/>
    </row>
    <row r="242" spans="2:14" s="93" customFormat="1">
      <c r="B242" s="94"/>
      <c r="G242" s="64"/>
      <c r="H242" s="64"/>
      <c r="I242" s="64"/>
      <c r="J242" s="64"/>
      <c r="K242" s="64"/>
      <c r="L242" s="64"/>
      <c r="M242" s="64"/>
      <c r="N242" s="64"/>
    </row>
    <row r="243" spans="2:14" s="93" customFormat="1">
      <c r="B243" s="94"/>
      <c r="G243" s="64"/>
      <c r="H243" s="64"/>
      <c r="I243" s="64"/>
      <c r="J243" s="64"/>
      <c r="K243" s="64"/>
      <c r="L243" s="64"/>
      <c r="M243" s="64"/>
      <c r="N243" s="64"/>
    </row>
    <row r="244" spans="2:14" s="93" customFormat="1">
      <c r="B244" s="94"/>
      <c r="G244" s="64"/>
      <c r="H244" s="64"/>
      <c r="I244" s="64"/>
      <c r="J244" s="64"/>
      <c r="K244" s="64"/>
      <c r="L244" s="64"/>
      <c r="M244" s="64"/>
      <c r="N244" s="64"/>
    </row>
    <row r="245" spans="2:14" s="93" customFormat="1">
      <c r="B245" s="94"/>
      <c r="G245" s="64"/>
      <c r="H245" s="64"/>
      <c r="I245" s="64"/>
      <c r="J245" s="64"/>
      <c r="K245" s="64"/>
      <c r="L245" s="64"/>
      <c r="M245" s="64"/>
      <c r="N245" s="64"/>
    </row>
    <row r="246" spans="2:14" s="93" customFormat="1">
      <c r="B246" s="94"/>
      <c r="G246" s="64"/>
      <c r="H246" s="64"/>
      <c r="I246" s="64"/>
      <c r="J246" s="64"/>
      <c r="K246" s="64"/>
      <c r="L246" s="64"/>
      <c r="M246" s="64"/>
      <c r="N246" s="64"/>
    </row>
    <row r="247" spans="2:14" s="93" customFormat="1">
      <c r="B247" s="94"/>
      <c r="G247" s="64"/>
      <c r="H247" s="64"/>
      <c r="I247" s="64"/>
      <c r="J247" s="64"/>
      <c r="K247" s="64"/>
      <c r="L247" s="64"/>
      <c r="M247" s="64"/>
      <c r="N247" s="64"/>
    </row>
    <row r="248" spans="2:14" s="93" customFormat="1">
      <c r="B248" s="94"/>
      <c r="G248" s="64"/>
      <c r="H248" s="64"/>
      <c r="I248" s="64"/>
      <c r="J248" s="64"/>
      <c r="K248" s="64"/>
      <c r="L248" s="64"/>
      <c r="M248" s="64"/>
      <c r="N248" s="64"/>
    </row>
    <row r="249" spans="2:14" s="93" customFormat="1">
      <c r="B249" s="94"/>
      <c r="G249" s="64"/>
      <c r="H249" s="64"/>
      <c r="I249" s="64"/>
      <c r="J249" s="64"/>
      <c r="K249" s="64"/>
      <c r="L249" s="64"/>
      <c r="M249" s="64"/>
      <c r="N249" s="64"/>
    </row>
    <row r="250" spans="2:14" s="93" customFormat="1">
      <c r="B250" s="94"/>
      <c r="G250" s="64"/>
      <c r="H250" s="64"/>
      <c r="I250" s="64"/>
      <c r="J250" s="64"/>
      <c r="K250" s="64"/>
      <c r="L250" s="64"/>
      <c r="M250" s="64"/>
      <c r="N250" s="64"/>
    </row>
    <row r="251" spans="2:14" s="93" customFormat="1">
      <c r="B251" s="94"/>
      <c r="G251" s="64"/>
      <c r="H251" s="64"/>
      <c r="I251" s="64"/>
      <c r="J251" s="64"/>
      <c r="K251" s="64"/>
      <c r="L251" s="64"/>
      <c r="M251" s="64"/>
      <c r="N251" s="64"/>
    </row>
    <row r="252" spans="2:14" s="93" customFormat="1">
      <c r="B252" s="94"/>
      <c r="G252" s="64"/>
      <c r="H252" s="64"/>
      <c r="I252" s="64"/>
      <c r="J252" s="64"/>
      <c r="K252" s="64"/>
      <c r="L252" s="64"/>
      <c r="M252" s="64"/>
      <c r="N252" s="64"/>
    </row>
    <row r="253" spans="2:14" s="93" customFormat="1">
      <c r="B253" s="94"/>
      <c r="G253" s="64"/>
      <c r="H253" s="64"/>
      <c r="I253" s="64"/>
      <c r="J253" s="64"/>
      <c r="K253" s="64"/>
      <c r="L253" s="64"/>
      <c r="M253" s="64"/>
      <c r="N253" s="64"/>
    </row>
    <row r="254" spans="2:14" s="93" customFormat="1">
      <c r="B254" s="94"/>
      <c r="G254" s="64"/>
      <c r="H254" s="64"/>
      <c r="I254" s="64"/>
      <c r="J254" s="64"/>
      <c r="K254" s="64"/>
      <c r="L254" s="64"/>
      <c r="M254" s="64"/>
      <c r="N254" s="64"/>
    </row>
    <row r="255" spans="2:14" s="93" customFormat="1">
      <c r="B255" s="94"/>
      <c r="G255" s="64"/>
      <c r="H255" s="64"/>
      <c r="I255" s="64"/>
      <c r="J255" s="64"/>
      <c r="K255" s="64"/>
      <c r="L255" s="64"/>
      <c r="M255" s="64"/>
      <c r="N255" s="64"/>
    </row>
    <row r="256" spans="2:14" s="93" customFormat="1">
      <c r="B256" s="94"/>
      <c r="G256" s="64"/>
      <c r="H256" s="64"/>
      <c r="I256" s="64"/>
      <c r="J256" s="64"/>
      <c r="K256" s="64"/>
      <c r="L256" s="64"/>
      <c r="M256" s="64"/>
      <c r="N256" s="64"/>
    </row>
    <row r="257" spans="2:14" s="93" customFormat="1">
      <c r="B257" s="94"/>
      <c r="G257" s="64"/>
      <c r="H257" s="64"/>
      <c r="I257" s="64"/>
      <c r="J257" s="64"/>
      <c r="K257" s="64"/>
      <c r="L257" s="64"/>
      <c r="M257" s="64"/>
      <c r="N257" s="64"/>
    </row>
    <row r="258" spans="2:14" s="93" customFormat="1">
      <c r="B258" s="94"/>
      <c r="G258" s="64"/>
      <c r="H258" s="64"/>
      <c r="I258" s="64"/>
      <c r="J258" s="64"/>
      <c r="K258" s="64"/>
      <c r="L258" s="64"/>
      <c r="M258" s="64"/>
      <c r="N258" s="64"/>
    </row>
    <row r="259" spans="2:14" s="93" customFormat="1">
      <c r="B259" s="94"/>
      <c r="G259" s="64"/>
      <c r="H259" s="64"/>
      <c r="I259" s="64"/>
      <c r="J259" s="64"/>
      <c r="K259" s="64"/>
      <c r="L259" s="64"/>
      <c r="M259" s="64"/>
      <c r="N259" s="64"/>
    </row>
    <row r="260" spans="2:14" s="93" customFormat="1">
      <c r="B260" s="94"/>
      <c r="G260" s="64"/>
      <c r="H260" s="64"/>
      <c r="I260" s="64"/>
      <c r="J260" s="64"/>
      <c r="K260" s="64"/>
      <c r="L260" s="64"/>
      <c r="M260" s="64"/>
      <c r="N260" s="64"/>
    </row>
    <row r="261" spans="2:14" s="93" customFormat="1">
      <c r="B261" s="94"/>
      <c r="G261" s="64"/>
      <c r="H261" s="64"/>
      <c r="I261" s="64"/>
      <c r="J261" s="64"/>
      <c r="K261" s="64"/>
      <c r="L261" s="64"/>
      <c r="M261" s="64"/>
      <c r="N261" s="64"/>
    </row>
    <row r="262" spans="2:14" s="93" customFormat="1">
      <c r="B262" s="94"/>
      <c r="G262" s="64"/>
      <c r="H262" s="64"/>
      <c r="I262" s="64"/>
      <c r="J262" s="64"/>
      <c r="K262" s="64"/>
      <c r="L262" s="64"/>
      <c r="M262" s="64"/>
      <c r="N262" s="64"/>
    </row>
    <row r="263" spans="2:14" s="93" customFormat="1">
      <c r="B263" s="94"/>
      <c r="G263" s="64"/>
      <c r="H263" s="64"/>
      <c r="I263" s="64"/>
      <c r="J263" s="64"/>
      <c r="K263" s="64"/>
      <c r="L263" s="64"/>
      <c r="M263" s="64"/>
      <c r="N263" s="64"/>
    </row>
    <row r="264" spans="2:14" s="93" customFormat="1">
      <c r="B264" s="94"/>
      <c r="G264" s="64"/>
      <c r="H264" s="64"/>
      <c r="I264" s="64"/>
      <c r="J264" s="64"/>
      <c r="K264" s="64"/>
      <c r="L264" s="64"/>
      <c r="M264" s="64"/>
      <c r="N264" s="64"/>
    </row>
    <row r="265" spans="2:14" s="93" customFormat="1">
      <c r="B265" s="94"/>
      <c r="G265" s="64"/>
      <c r="H265" s="64"/>
      <c r="I265" s="64"/>
      <c r="J265" s="64"/>
      <c r="K265" s="64"/>
      <c r="L265" s="64"/>
      <c r="M265" s="64"/>
      <c r="N265" s="64"/>
    </row>
    <row r="266" spans="2:14" s="93" customFormat="1">
      <c r="B266" s="94"/>
      <c r="G266" s="64"/>
      <c r="H266" s="64"/>
      <c r="I266" s="64"/>
      <c r="J266" s="64"/>
      <c r="K266" s="64"/>
      <c r="L266" s="64"/>
      <c r="M266" s="64"/>
      <c r="N266" s="64"/>
    </row>
    <row r="267" spans="2:14" s="93" customFormat="1">
      <c r="B267" s="94"/>
      <c r="G267" s="64"/>
      <c r="H267" s="64"/>
      <c r="I267" s="64"/>
      <c r="J267" s="64"/>
      <c r="K267" s="64"/>
      <c r="L267" s="64"/>
      <c r="M267" s="64"/>
      <c r="N267" s="64"/>
    </row>
    <row r="268" spans="2:14" s="93" customFormat="1">
      <c r="B268" s="94"/>
      <c r="G268" s="64"/>
      <c r="H268" s="64"/>
      <c r="I268" s="64"/>
      <c r="J268" s="64"/>
      <c r="K268" s="64"/>
      <c r="L268" s="64"/>
      <c r="M268" s="64"/>
      <c r="N268" s="64"/>
    </row>
    <row r="269" spans="2:14" s="93" customFormat="1">
      <c r="B269" s="94"/>
      <c r="G269" s="64"/>
      <c r="H269" s="64"/>
      <c r="I269" s="64"/>
      <c r="J269" s="64"/>
      <c r="K269" s="64"/>
      <c r="L269" s="64"/>
      <c r="M269" s="64"/>
      <c r="N269" s="64"/>
    </row>
    <row r="270" spans="2:14" s="93" customFormat="1">
      <c r="B270" s="94"/>
      <c r="G270" s="64"/>
      <c r="H270" s="64"/>
      <c r="I270" s="64"/>
      <c r="J270" s="64"/>
      <c r="K270" s="64"/>
      <c r="L270" s="64"/>
      <c r="M270" s="64"/>
      <c r="N270" s="64"/>
    </row>
    <row r="271" spans="2:14" s="93" customFormat="1">
      <c r="B271" s="94"/>
      <c r="G271" s="64"/>
      <c r="H271" s="64"/>
      <c r="I271" s="64"/>
      <c r="J271" s="64"/>
      <c r="K271" s="64"/>
      <c r="L271" s="64"/>
      <c r="M271" s="64"/>
      <c r="N271" s="64"/>
    </row>
    <row r="272" spans="2:14" s="93" customFormat="1">
      <c r="B272" s="94"/>
      <c r="G272" s="64"/>
      <c r="H272" s="64"/>
      <c r="I272" s="64"/>
      <c r="J272" s="64"/>
      <c r="K272" s="64"/>
      <c r="L272" s="64"/>
      <c r="M272" s="64"/>
      <c r="N272" s="64"/>
    </row>
    <row r="273" spans="2:14" s="93" customFormat="1">
      <c r="B273" s="94"/>
      <c r="G273" s="64"/>
      <c r="H273" s="64"/>
      <c r="I273" s="64"/>
      <c r="J273" s="64"/>
      <c r="K273" s="64"/>
      <c r="L273" s="64"/>
      <c r="M273" s="64"/>
      <c r="N273" s="64"/>
    </row>
    <row r="274" spans="2:14" s="93" customFormat="1">
      <c r="B274" s="94"/>
      <c r="G274" s="64"/>
      <c r="H274" s="64"/>
      <c r="I274" s="64"/>
      <c r="J274" s="64"/>
      <c r="K274" s="64"/>
      <c r="L274" s="64"/>
      <c r="M274" s="64"/>
      <c r="N274" s="64"/>
    </row>
    <row r="275" spans="2:14" s="93" customFormat="1">
      <c r="B275" s="94"/>
      <c r="G275" s="64"/>
      <c r="H275" s="64"/>
      <c r="I275" s="64"/>
      <c r="J275" s="64"/>
      <c r="K275" s="64"/>
      <c r="L275" s="64"/>
      <c r="M275" s="64"/>
      <c r="N275" s="64"/>
    </row>
    <row r="276" spans="2:14" s="93" customFormat="1">
      <c r="B276" s="94"/>
      <c r="G276" s="64"/>
      <c r="H276" s="64"/>
      <c r="I276" s="64"/>
      <c r="J276" s="64"/>
      <c r="K276" s="64"/>
      <c r="L276" s="64"/>
      <c r="M276" s="64"/>
      <c r="N276" s="64"/>
    </row>
    <row r="277" spans="2:14" s="93" customFormat="1">
      <c r="B277" s="94"/>
      <c r="G277" s="64"/>
      <c r="H277" s="64"/>
      <c r="I277" s="64"/>
      <c r="J277" s="64"/>
      <c r="K277" s="64"/>
      <c r="L277" s="64"/>
      <c r="M277" s="64"/>
      <c r="N277" s="64"/>
    </row>
    <row r="278" spans="2:14" s="93" customFormat="1">
      <c r="B278" s="94"/>
      <c r="G278" s="64"/>
      <c r="H278" s="64"/>
      <c r="I278" s="64"/>
      <c r="J278" s="64"/>
      <c r="K278" s="64"/>
      <c r="L278" s="64"/>
      <c r="M278" s="64"/>
      <c r="N278" s="64"/>
    </row>
    <row r="279" spans="2:14" s="93" customFormat="1">
      <c r="B279" s="94"/>
      <c r="G279" s="64"/>
      <c r="H279" s="64"/>
      <c r="I279" s="64"/>
      <c r="J279" s="64"/>
      <c r="K279" s="64"/>
      <c r="L279" s="64"/>
      <c r="M279" s="64"/>
      <c r="N279" s="64"/>
    </row>
    <row r="280" spans="2:14" s="93" customFormat="1">
      <c r="B280" s="94"/>
      <c r="G280" s="64"/>
      <c r="H280" s="64"/>
      <c r="I280" s="64"/>
      <c r="J280" s="64"/>
      <c r="K280" s="64"/>
      <c r="L280" s="64"/>
      <c r="M280" s="64"/>
      <c r="N280" s="64"/>
    </row>
    <row r="281" spans="2:14" s="93" customFormat="1">
      <c r="B281" s="94"/>
      <c r="G281" s="64"/>
      <c r="H281" s="64"/>
      <c r="I281" s="64"/>
      <c r="J281" s="64"/>
      <c r="K281" s="64"/>
      <c r="L281" s="64"/>
      <c r="M281" s="64"/>
      <c r="N281" s="64"/>
    </row>
    <row r="282" spans="2:14" s="93" customFormat="1">
      <c r="B282" s="94"/>
      <c r="G282" s="64"/>
      <c r="H282" s="64"/>
      <c r="I282" s="64"/>
      <c r="J282" s="64"/>
      <c r="K282" s="64"/>
      <c r="L282" s="64"/>
      <c r="M282" s="64"/>
      <c r="N282" s="64"/>
    </row>
    <row r="283" spans="2:14" s="93" customFormat="1">
      <c r="B283" s="94"/>
      <c r="G283" s="64"/>
      <c r="H283" s="64"/>
      <c r="I283" s="64"/>
      <c r="J283" s="64"/>
      <c r="K283" s="64"/>
      <c r="L283" s="64"/>
      <c r="M283" s="64"/>
      <c r="N283" s="64"/>
    </row>
    <row r="284" spans="2:14" s="93" customFormat="1">
      <c r="B284" s="94"/>
      <c r="G284" s="64"/>
      <c r="H284" s="64"/>
      <c r="I284" s="64"/>
      <c r="J284" s="64"/>
      <c r="K284" s="64"/>
      <c r="L284" s="64"/>
      <c r="M284" s="64"/>
      <c r="N284" s="64"/>
    </row>
    <row r="285" spans="2:14" s="93" customFormat="1">
      <c r="B285" s="94"/>
      <c r="G285" s="64"/>
      <c r="H285" s="64"/>
      <c r="I285" s="64"/>
      <c r="J285" s="64"/>
      <c r="K285" s="64"/>
      <c r="L285" s="64"/>
      <c r="M285" s="64"/>
      <c r="N285" s="64"/>
    </row>
    <row r="286" spans="2:14" s="93" customFormat="1">
      <c r="B286" s="94"/>
      <c r="G286" s="64"/>
      <c r="H286" s="64"/>
      <c r="I286" s="64"/>
      <c r="J286" s="64"/>
      <c r="K286" s="64"/>
      <c r="L286" s="64"/>
      <c r="M286" s="64"/>
      <c r="N286" s="64"/>
    </row>
    <row r="287" spans="2:14" s="93" customFormat="1">
      <c r="B287" s="94"/>
      <c r="G287" s="64"/>
      <c r="H287" s="64"/>
      <c r="I287" s="64"/>
      <c r="J287" s="64"/>
      <c r="K287" s="64"/>
      <c r="L287" s="64"/>
      <c r="M287" s="64"/>
      <c r="N287" s="64"/>
    </row>
    <row r="288" spans="2:14" s="93" customFormat="1">
      <c r="B288" s="94"/>
      <c r="G288" s="64"/>
      <c r="H288" s="64"/>
      <c r="I288" s="64"/>
      <c r="J288" s="64"/>
      <c r="K288" s="64"/>
      <c r="L288" s="64"/>
      <c r="M288" s="64"/>
      <c r="N288" s="64"/>
    </row>
    <row r="289" spans="2:14" s="93" customFormat="1">
      <c r="B289" s="94"/>
      <c r="G289" s="64"/>
      <c r="H289" s="64"/>
      <c r="I289" s="64"/>
      <c r="J289" s="64"/>
      <c r="K289" s="64"/>
      <c r="L289" s="64"/>
      <c r="M289" s="64"/>
      <c r="N289" s="64"/>
    </row>
  </sheetData>
  <mergeCells count="89">
    <mergeCell ref="C111:G111"/>
    <mergeCell ref="C100:G100"/>
    <mergeCell ref="C95:G95"/>
    <mergeCell ref="C90:G90"/>
    <mergeCell ref="F102:G102"/>
    <mergeCell ref="F106:G106"/>
    <mergeCell ref="D97:G97"/>
    <mergeCell ref="D101:G101"/>
    <mergeCell ref="D104:G104"/>
    <mergeCell ref="D91:G91"/>
    <mergeCell ref="F103:G103"/>
    <mergeCell ref="F105:G105"/>
    <mergeCell ref="C38:G38"/>
    <mergeCell ref="C9:G9"/>
    <mergeCell ref="B88:G88"/>
    <mergeCell ref="F84:G84"/>
    <mergeCell ref="F85:G85"/>
    <mergeCell ref="F69:G69"/>
    <mergeCell ref="F70:G70"/>
    <mergeCell ref="F71:G71"/>
    <mergeCell ref="F74:G74"/>
    <mergeCell ref="F75:G75"/>
    <mergeCell ref="F57:G57"/>
    <mergeCell ref="F58:G58"/>
    <mergeCell ref="D66:G66"/>
    <mergeCell ref="F59:G59"/>
    <mergeCell ref="F61:G61"/>
    <mergeCell ref="F62:G62"/>
    <mergeCell ref="D65:G65"/>
    <mergeCell ref="F56:G56"/>
    <mergeCell ref="F47:G47"/>
    <mergeCell ref="F48:G48"/>
    <mergeCell ref="F49:G49"/>
    <mergeCell ref="F50:G50"/>
    <mergeCell ref="F51:G51"/>
    <mergeCell ref="F52:G52"/>
    <mergeCell ref="D118:G118"/>
    <mergeCell ref="F12:G12"/>
    <mergeCell ref="F19:G19"/>
    <mergeCell ref="F24:G24"/>
    <mergeCell ref="F28:G28"/>
    <mergeCell ref="F29:G29"/>
    <mergeCell ref="F30:G30"/>
    <mergeCell ref="F40:G40"/>
    <mergeCell ref="F41:G41"/>
    <mergeCell ref="D96:G96"/>
    <mergeCell ref="D112:G112"/>
    <mergeCell ref="D117:G117"/>
    <mergeCell ref="F113:G113"/>
    <mergeCell ref="F114:G114"/>
    <mergeCell ref="F115:G115"/>
    <mergeCell ref="F116:G116"/>
    <mergeCell ref="D81:G81"/>
    <mergeCell ref="F79:G79"/>
    <mergeCell ref="F80:G80"/>
    <mergeCell ref="F76:G76"/>
    <mergeCell ref="D92:G92"/>
    <mergeCell ref="F82:G82"/>
    <mergeCell ref="F83:G83"/>
    <mergeCell ref="D73:G73"/>
    <mergeCell ref="D77:G77"/>
    <mergeCell ref="D78:G78"/>
    <mergeCell ref="F67:G67"/>
    <mergeCell ref="F68:G68"/>
    <mergeCell ref="D33:G33"/>
    <mergeCell ref="D34:G34"/>
    <mergeCell ref="D72:G72"/>
    <mergeCell ref="F43:G43"/>
    <mergeCell ref="F44:G44"/>
    <mergeCell ref="F45:G45"/>
    <mergeCell ref="F46:G46"/>
    <mergeCell ref="D42:G42"/>
    <mergeCell ref="D60:G60"/>
    <mergeCell ref="D64:G64"/>
    <mergeCell ref="D35:G35"/>
    <mergeCell ref="D39:G39"/>
    <mergeCell ref="F53:G53"/>
    <mergeCell ref="F54:G54"/>
    <mergeCell ref="F55:G55"/>
    <mergeCell ref="F63:G63"/>
    <mergeCell ref="D31:G31"/>
    <mergeCell ref="D32:G32"/>
    <mergeCell ref="B1:K1"/>
    <mergeCell ref="F11:G11"/>
    <mergeCell ref="D26:G26"/>
    <mergeCell ref="D10:G10"/>
    <mergeCell ref="D25:G25"/>
    <mergeCell ref="D27:G27"/>
    <mergeCell ref="J4:M4"/>
  </mergeCells>
  <phoneticPr fontId="3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49" fitToHeight="0" orientation="portrait" r:id="rId1"/>
  <headerFooter alignWithMargins="0">
    <oddFooter>&amp;C&amp;"Garamond,Corsivo"&amp;P / &amp;N</oddFooter>
  </headerFooter>
  <rowBreaks count="1" manualBreakCount="1">
    <brk id="72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FB29C-A9C9-4CA4-9363-F9DAF67B0CFB}">
  <sheetPr>
    <pageSetUpPr fitToPage="1"/>
  </sheetPr>
  <dimension ref="A1:O289"/>
  <sheetViews>
    <sheetView showGridLines="0" view="pageBreakPreview" zoomScale="85" zoomScaleNormal="75" zoomScaleSheetLayoutView="85" workbookViewId="0">
      <pane xSplit="7" ySplit="8" topLeftCell="H39" activePane="bottomRight" state="frozen"/>
      <selection activeCell="F40" sqref="F40:G40"/>
      <selection pane="topRight" activeCell="F40" sqref="F40:G40"/>
      <selection pane="bottomLeft" activeCell="F40" sqref="F40:G40"/>
      <selection pane="bottomRight" activeCell="F40" sqref="F40:G40"/>
    </sheetView>
  </sheetViews>
  <sheetFormatPr defaultColWidth="10.42578125" defaultRowHeight="15" outlineLevelRow="2" outlineLevelCol="1"/>
  <cols>
    <col min="1" max="1" width="10.42578125" style="64"/>
    <col min="2" max="2" width="4" style="93" customWidth="1"/>
    <col min="3" max="3" width="4.5703125" style="93" customWidth="1"/>
    <col min="4" max="4" width="2.5703125" style="93" customWidth="1"/>
    <col min="5" max="6" width="4" style="93" customWidth="1"/>
    <col min="7" max="7" width="59.5703125" style="64" customWidth="1"/>
    <col min="8" max="8" width="21.85546875" style="64" hidden="1" customWidth="1" outlineLevel="1"/>
    <col min="9" max="9" width="22.42578125" style="64" customWidth="1" collapsed="1"/>
    <col min="10" max="12" width="22.42578125" style="64" customWidth="1"/>
    <col min="13" max="13" width="20.28515625" style="64" customWidth="1"/>
    <col min="14" max="14" width="18" style="64" customWidth="1"/>
    <col min="15" max="15" width="7.5703125" style="337" customWidth="1"/>
    <col min="16" max="16384" width="10.42578125" style="64"/>
  </cols>
  <sheetData>
    <row r="1" spans="1:15" s="52" customFormat="1" ht="36.75" customHeight="1">
      <c r="B1" s="627" t="s">
        <v>1439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335"/>
    </row>
    <row r="2" spans="1:15" s="52" customFormat="1">
      <c r="B2" s="54"/>
      <c r="C2" s="54"/>
      <c r="D2" s="54"/>
      <c r="E2" s="54"/>
      <c r="F2" s="54"/>
      <c r="G2" s="54"/>
      <c r="O2" s="336"/>
    </row>
    <row r="3" spans="1:15" s="52" customFormat="1" ht="15.75" thickBot="1">
      <c r="B3" s="54"/>
      <c r="C3" s="54"/>
      <c r="D3" s="54"/>
      <c r="E3" s="54"/>
      <c r="F3" s="54"/>
      <c r="G3" s="54"/>
      <c r="O3" s="336"/>
    </row>
    <row r="4" spans="1:15" s="55" customFormat="1">
      <c r="B4" s="638" t="s">
        <v>2845</v>
      </c>
      <c r="C4" s="639"/>
      <c r="D4" s="639"/>
      <c r="E4" s="639"/>
      <c r="F4" s="639"/>
      <c r="G4" s="639"/>
      <c r="H4" s="642" t="s">
        <v>4371</v>
      </c>
      <c r="I4" s="633"/>
      <c r="J4" s="633"/>
      <c r="K4" s="633"/>
      <c r="L4" s="633"/>
      <c r="M4" s="633"/>
      <c r="N4" s="643"/>
      <c r="O4" s="81"/>
    </row>
    <row r="5" spans="1:15" s="55" customFormat="1" ht="15.75" thickBot="1">
      <c r="B5" s="640"/>
      <c r="C5" s="641"/>
      <c r="D5" s="641"/>
      <c r="E5" s="641"/>
      <c r="F5" s="641"/>
      <c r="G5" s="641"/>
      <c r="H5" s="644"/>
      <c r="I5" s="645"/>
      <c r="J5" s="645"/>
      <c r="K5" s="645"/>
      <c r="L5" s="645"/>
      <c r="M5" s="645"/>
      <c r="N5" s="646"/>
      <c r="O5" s="81"/>
    </row>
    <row r="6" spans="1:15" ht="15" customHeight="1" thickBot="1">
      <c r="B6" s="65"/>
      <c r="C6" s="65"/>
      <c r="D6" s="65"/>
      <c r="E6" s="65"/>
      <c r="F6" s="65"/>
      <c r="G6" s="65"/>
      <c r="H6" s="66"/>
    </row>
    <row r="7" spans="1:15" ht="18">
      <c r="B7" s="647" t="s">
        <v>4639</v>
      </c>
      <c r="C7" s="648"/>
      <c r="D7" s="648"/>
      <c r="E7" s="648"/>
      <c r="F7" s="648"/>
      <c r="G7" s="649"/>
      <c r="H7" s="284" t="s">
        <v>283</v>
      </c>
      <c r="I7" s="284" t="s">
        <v>4367</v>
      </c>
      <c r="J7" s="284" t="s">
        <v>3775</v>
      </c>
      <c r="K7" s="284" t="s">
        <v>3775</v>
      </c>
      <c r="L7" s="284" t="s">
        <v>3775</v>
      </c>
      <c r="M7" s="71" t="str">
        <f>CONCATENATE("VARIAZIONE ",  I8, " / ", L8)</f>
        <v>VARIAZIONE 2019 / 2022</v>
      </c>
      <c r="N7" s="72"/>
    </row>
    <row r="8" spans="1:15" ht="18">
      <c r="B8" s="650" t="s">
        <v>4640</v>
      </c>
      <c r="C8" s="651"/>
      <c r="D8" s="651"/>
      <c r="E8" s="651"/>
      <c r="F8" s="651"/>
      <c r="G8" s="652"/>
      <c r="H8" s="76">
        <f>'pdc2019'!N3</f>
        <v>2018</v>
      </c>
      <c r="I8" s="76">
        <f>'pdc2019'!P3</f>
        <v>2019</v>
      </c>
      <c r="J8" s="76">
        <f>'pdc2019'!Q3</f>
        <v>2020</v>
      </c>
      <c r="K8" s="76">
        <f>'pdc2019'!R3</f>
        <v>2021</v>
      </c>
      <c r="L8" s="76">
        <f>'pdc2019'!S3</f>
        <v>2022</v>
      </c>
      <c r="M8" s="77" t="s">
        <v>2848</v>
      </c>
      <c r="N8" s="78" t="s">
        <v>3174</v>
      </c>
    </row>
    <row r="9" spans="1:15" s="79" customFormat="1">
      <c r="A9" s="209"/>
      <c r="B9" s="210" t="s">
        <v>3182</v>
      </c>
      <c r="C9" s="630" t="s">
        <v>1441</v>
      </c>
      <c r="D9" s="630"/>
      <c r="E9" s="630"/>
      <c r="F9" s="630"/>
      <c r="G9" s="631"/>
      <c r="H9" s="211"/>
      <c r="I9" s="211"/>
      <c r="J9" s="211"/>
      <c r="K9" s="211"/>
      <c r="L9" s="211"/>
      <c r="M9" s="212"/>
      <c r="N9" s="338"/>
      <c r="O9" s="265"/>
    </row>
    <row r="10" spans="1:15" s="79" customFormat="1">
      <c r="A10" s="209"/>
      <c r="B10" s="215"/>
      <c r="C10" s="216" t="s">
        <v>2849</v>
      </c>
      <c r="D10" s="628" t="s">
        <v>2850</v>
      </c>
      <c r="E10" s="628"/>
      <c r="F10" s="628"/>
      <c r="G10" s="629"/>
      <c r="H10" s="217">
        <f>H11+H12+H19+H24</f>
        <v>1197309589.2400002</v>
      </c>
      <c r="I10" s="217">
        <f>I11+I12+I19+I24</f>
        <v>1238103106.9300001</v>
      </c>
      <c r="J10" s="217">
        <f t="shared" ref="J10:L10" si="0">J11+J12+J19+J24</f>
        <v>1252767942.5699999</v>
      </c>
      <c r="K10" s="217">
        <f t="shared" si="0"/>
        <v>1287995900</v>
      </c>
      <c r="L10" s="217">
        <f t="shared" si="0"/>
        <v>1316885897.76</v>
      </c>
      <c r="M10" s="218">
        <f>L10-I10</f>
        <v>78782790.829999924</v>
      </c>
      <c r="N10" s="339">
        <f>IF(I10=0,"-    ",M10/I10)</f>
        <v>6.3631849713510283E-2</v>
      </c>
      <c r="O10" s="265"/>
    </row>
    <row r="11" spans="1:15" s="55" customFormat="1" ht="30" customHeight="1" outlineLevel="1">
      <c r="A11" s="209" t="s">
        <v>451</v>
      </c>
      <c r="B11" s="221"/>
      <c r="C11" s="222"/>
      <c r="D11" s="223"/>
      <c r="E11" s="222" t="s">
        <v>2851</v>
      </c>
      <c r="F11" s="625" t="s">
        <v>2852</v>
      </c>
      <c r="G11" s="626"/>
      <c r="H11" s="225">
        <f>SUMIF('pdc2019'!$J$8:$J$1159,'CE statale pluri'!$A11,'pdc2019'!$N$8:$N$1159)</f>
        <v>1175424308.7</v>
      </c>
      <c r="I11" s="225">
        <f>SUMIF('pdc2019'!$J$8:$J$1159,'CE statale pluri'!$A11,'pdc2019'!P$8:P$1159)</f>
        <v>1214399062.9400001</v>
      </c>
      <c r="J11" s="225">
        <f>SUMIF('pdc2019'!$J$8:$J$1159,'CE statale pluri'!$A11,'pdc2019'!Q$8:Q$1159)</f>
        <v>1203982641.27</v>
      </c>
      <c r="K11" s="225">
        <f>SUMIF('pdc2019'!$J$8:$J$1159,'CE statale pluri'!$A11,'pdc2019'!R$8:R$1159)</f>
        <v>1239307900</v>
      </c>
      <c r="L11" s="225">
        <f>SUMIF('pdc2019'!$J$8:$J$1159,'CE statale pluri'!$A11,'pdc2019'!S$8:S$1159)</f>
        <v>1268197897.76</v>
      </c>
      <c r="M11" s="226">
        <f t="shared" ref="M11:M74" si="1">L11-I11</f>
        <v>53798834.819999933</v>
      </c>
      <c r="N11" s="340">
        <f t="shared" ref="N11:N74" si="2">IF(I11=0,"-    ",M11/I11)</f>
        <v>4.4300787493820701E-2</v>
      </c>
      <c r="O11" s="258"/>
    </row>
    <row r="12" spans="1:15" s="55" customFormat="1" outlineLevel="1">
      <c r="A12" s="209"/>
      <c r="B12" s="221"/>
      <c r="C12" s="222"/>
      <c r="D12" s="223"/>
      <c r="E12" s="222" t="s">
        <v>2853</v>
      </c>
      <c r="F12" s="625" t="s">
        <v>2854</v>
      </c>
      <c r="G12" s="626"/>
      <c r="H12" s="225">
        <f>SUM(H13:H18)</f>
        <v>21792095.649999999</v>
      </c>
      <c r="I12" s="225">
        <f>SUM(I13:I18)</f>
        <v>23423000</v>
      </c>
      <c r="J12" s="225">
        <f t="shared" ref="J12:L12" si="3">SUM(J13:J18)</f>
        <v>48288000</v>
      </c>
      <c r="K12" s="225">
        <f t="shared" si="3"/>
        <v>48288000</v>
      </c>
      <c r="L12" s="225">
        <f t="shared" si="3"/>
        <v>48288000</v>
      </c>
      <c r="M12" s="226">
        <f t="shared" si="1"/>
        <v>24865000</v>
      </c>
      <c r="N12" s="340">
        <f t="shared" si="2"/>
        <v>1.0615634205695257</v>
      </c>
      <c r="O12" s="258"/>
    </row>
    <row r="13" spans="1:15" s="80" customFormat="1" outlineLevel="1">
      <c r="A13" s="209" t="s">
        <v>2855</v>
      </c>
      <c r="B13" s="229"/>
      <c r="C13" s="230"/>
      <c r="D13" s="231"/>
      <c r="E13" s="230"/>
      <c r="F13" s="232" t="s">
        <v>2849</v>
      </c>
      <c r="G13" s="236" t="s">
        <v>2856</v>
      </c>
      <c r="H13" s="341">
        <f>SUMIF('pdc2019'!$J$8:$J$1159,'CE statale pluri'!$A13,'pdc2019'!$N$8:$N$1159)</f>
        <v>0</v>
      </c>
      <c r="I13" s="341">
        <f>SUMIF('pdc2019'!$J$8:$J$1159,'CE statale pluri'!$A13,'pdc2019'!P$8:P$1159)</f>
        <v>0</v>
      </c>
      <c r="J13" s="341">
        <f>SUMIF('pdc2019'!$J$8:$J$1159,'CE statale pluri'!$A13,'pdc2019'!Q$8:Q$1159)</f>
        <v>0</v>
      </c>
      <c r="K13" s="341">
        <f>SUMIF('pdc2019'!$J$8:$J$1159,'CE statale pluri'!$A13,'pdc2019'!R$8:R$1159)</f>
        <v>0</v>
      </c>
      <c r="L13" s="341">
        <f>SUMIF('pdc2019'!$J$8:$J$1159,'CE statale pluri'!$A13,'pdc2019'!S$8:S$1159)</f>
        <v>0</v>
      </c>
      <c r="M13" s="341">
        <f t="shared" si="1"/>
        <v>0</v>
      </c>
      <c r="N13" s="340" t="str">
        <f t="shared" si="2"/>
        <v xml:space="preserve">-    </v>
      </c>
      <c r="O13" s="342"/>
    </row>
    <row r="14" spans="1:15" s="80" customFormat="1" ht="30" customHeight="1" outlineLevel="1">
      <c r="A14" s="234" t="s">
        <v>2857</v>
      </c>
      <c r="B14" s="229"/>
      <c r="C14" s="230"/>
      <c r="D14" s="231"/>
      <c r="E14" s="230"/>
      <c r="F14" s="232" t="s">
        <v>2858</v>
      </c>
      <c r="G14" s="236" t="s">
        <v>2859</v>
      </c>
      <c r="H14" s="341">
        <f>SUMIF('pdc2019'!$J$8:$J$1159,'CE statale pluri'!$A14,'pdc2019'!$N$8:$N$1159)</f>
        <v>0</v>
      </c>
      <c r="I14" s="341">
        <f>SUMIF('pdc2019'!$J$8:$J$1159,'CE statale pluri'!$A14,'pdc2019'!P$8:P$1159)</f>
        <v>0</v>
      </c>
      <c r="J14" s="341">
        <f>SUMIF('pdc2019'!$J$8:$J$1159,'CE statale pluri'!$A14,'pdc2019'!Q$8:Q$1159)</f>
        <v>0</v>
      </c>
      <c r="K14" s="341">
        <f>SUMIF('pdc2019'!$J$8:$J$1159,'CE statale pluri'!$A14,'pdc2019'!R$8:R$1159)</f>
        <v>0</v>
      </c>
      <c r="L14" s="341">
        <f>SUMIF('pdc2019'!$J$8:$J$1159,'CE statale pluri'!$A14,'pdc2019'!S$8:S$1159)</f>
        <v>0</v>
      </c>
      <c r="M14" s="341">
        <f t="shared" si="1"/>
        <v>0</v>
      </c>
      <c r="N14" s="340" t="str">
        <f t="shared" si="2"/>
        <v xml:space="preserve">-    </v>
      </c>
      <c r="O14" s="342"/>
    </row>
    <row r="15" spans="1:15" s="80" customFormat="1" ht="30" customHeight="1" outlineLevel="1">
      <c r="A15" s="209" t="s">
        <v>2860</v>
      </c>
      <c r="B15" s="229"/>
      <c r="C15" s="230"/>
      <c r="D15" s="231"/>
      <c r="E15" s="230"/>
      <c r="F15" s="232" t="s">
        <v>2861</v>
      </c>
      <c r="G15" s="236" t="s">
        <v>2862</v>
      </c>
      <c r="H15" s="341">
        <f>SUMIF('pdc2019'!$J$8:$J$1159,'CE statale pluri'!$A15,'pdc2019'!$N$8:$N$1159)</f>
        <v>21792095.649999999</v>
      </c>
      <c r="I15" s="341">
        <f>SUMIF('pdc2019'!$J$8:$J$1159,'CE statale pluri'!$A15,'pdc2019'!P$8:P$1159)</f>
        <v>22823000</v>
      </c>
      <c r="J15" s="341">
        <f>SUMIF('pdc2019'!$J$8:$J$1159,'CE statale pluri'!$A15,'pdc2019'!Q$8:Q$1159)</f>
        <v>48288000</v>
      </c>
      <c r="K15" s="341">
        <f>SUMIF('pdc2019'!$J$8:$J$1159,'CE statale pluri'!$A15,'pdc2019'!R$8:R$1159)</f>
        <v>48288000</v>
      </c>
      <c r="L15" s="341">
        <f>SUMIF('pdc2019'!$J$8:$J$1159,'CE statale pluri'!$A15,'pdc2019'!S$8:S$1159)</f>
        <v>48288000</v>
      </c>
      <c r="M15" s="341">
        <f t="shared" si="1"/>
        <v>25465000</v>
      </c>
      <c r="N15" s="340">
        <f t="shared" si="2"/>
        <v>1.1157604171230775</v>
      </c>
      <c r="O15" s="342"/>
    </row>
    <row r="16" spans="1:15" s="80" customFormat="1" outlineLevel="1">
      <c r="A16" s="234" t="s">
        <v>2863</v>
      </c>
      <c r="B16" s="229"/>
      <c r="C16" s="230"/>
      <c r="D16" s="231"/>
      <c r="E16" s="230"/>
      <c r="F16" s="232" t="s">
        <v>2864</v>
      </c>
      <c r="G16" s="236" t="s">
        <v>2865</v>
      </c>
      <c r="H16" s="341">
        <f>SUMIF('pdc2019'!$J$8:$J$1159,'CE statale pluri'!$A16,'pdc2019'!$N$8:$N$1159)</f>
        <v>0</v>
      </c>
      <c r="I16" s="341">
        <f>SUMIF('pdc2019'!$J$8:$J$1159,'CE statale pluri'!$A16,'pdc2019'!P$8:P$1159)</f>
        <v>600000</v>
      </c>
      <c r="J16" s="341">
        <f>SUMIF('pdc2019'!$J$8:$J$1159,'CE statale pluri'!$A16,'pdc2019'!Q$8:Q$1159)</f>
        <v>0</v>
      </c>
      <c r="K16" s="341">
        <f>SUMIF('pdc2019'!$J$8:$J$1159,'CE statale pluri'!$A16,'pdc2019'!R$8:R$1159)</f>
        <v>0</v>
      </c>
      <c r="L16" s="341">
        <f>SUMIF('pdc2019'!$J$8:$J$1159,'CE statale pluri'!$A16,'pdc2019'!S$8:S$1159)</f>
        <v>0</v>
      </c>
      <c r="M16" s="341">
        <f t="shared" si="1"/>
        <v>-600000</v>
      </c>
      <c r="N16" s="340">
        <f t="shared" si="2"/>
        <v>-1</v>
      </c>
      <c r="O16" s="342"/>
    </row>
    <row r="17" spans="1:15" s="80" customFormat="1" outlineLevel="1">
      <c r="A17" s="209" t="s">
        <v>3536</v>
      </c>
      <c r="B17" s="229"/>
      <c r="C17" s="230"/>
      <c r="D17" s="231"/>
      <c r="E17" s="230"/>
      <c r="F17" s="232" t="s">
        <v>3537</v>
      </c>
      <c r="G17" s="236" t="s">
        <v>3538</v>
      </c>
      <c r="H17" s="341">
        <f>SUMIF('pdc2019'!$J$8:$J$1159,'CE statale pluri'!$A17,'pdc2019'!$N$8:$N$1159)</f>
        <v>0</v>
      </c>
      <c r="I17" s="341">
        <f>SUMIF('pdc2019'!$J$8:$J$1159,'CE statale pluri'!$A17,'pdc2019'!P$8:P$1159)</f>
        <v>0</v>
      </c>
      <c r="J17" s="341">
        <f>SUMIF('pdc2019'!$J$8:$J$1159,'CE statale pluri'!$A17,'pdc2019'!Q$8:Q$1159)</f>
        <v>0</v>
      </c>
      <c r="K17" s="341">
        <f>SUMIF('pdc2019'!$J$8:$J$1159,'CE statale pluri'!$A17,'pdc2019'!R$8:R$1159)</f>
        <v>0</v>
      </c>
      <c r="L17" s="341">
        <f>SUMIF('pdc2019'!$J$8:$J$1159,'CE statale pluri'!$A17,'pdc2019'!S$8:S$1159)</f>
        <v>0</v>
      </c>
      <c r="M17" s="341">
        <f t="shared" si="1"/>
        <v>0</v>
      </c>
      <c r="N17" s="343" t="str">
        <f t="shared" si="2"/>
        <v xml:space="preserve">-    </v>
      </c>
      <c r="O17" s="342"/>
    </row>
    <row r="18" spans="1:15" s="80" customFormat="1" outlineLevel="1">
      <c r="A18" s="234" t="s">
        <v>3539</v>
      </c>
      <c r="B18" s="229"/>
      <c r="C18" s="230"/>
      <c r="D18" s="231"/>
      <c r="E18" s="230"/>
      <c r="F18" s="232" t="s">
        <v>3540</v>
      </c>
      <c r="G18" s="236" t="s">
        <v>3541</v>
      </c>
      <c r="H18" s="341">
        <f>SUMIF('pdc2019'!$J$8:$J$1159,'CE statale pluri'!$A18,'pdc2019'!$N$8:$N$1159)</f>
        <v>0</v>
      </c>
      <c r="I18" s="341">
        <f>SUMIF('pdc2019'!$J$8:$J$1159,'CE statale pluri'!$A18,'pdc2019'!P$8:P$1159)</f>
        <v>0</v>
      </c>
      <c r="J18" s="341">
        <f>SUMIF('pdc2019'!$J$8:$J$1159,'CE statale pluri'!$A18,'pdc2019'!Q$8:Q$1159)</f>
        <v>0</v>
      </c>
      <c r="K18" s="341">
        <f>SUMIF('pdc2019'!$J$8:$J$1159,'CE statale pluri'!$A18,'pdc2019'!R$8:R$1159)</f>
        <v>0</v>
      </c>
      <c r="L18" s="341">
        <f>SUMIF('pdc2019'!$J$8:$J$1159,'CE statale pluri'!$A18,'pdc2019'!S$8:S$1159)</f>
        <v>0</v>
      </c>
      <c r="M18" s="341">
        <f t="shared" si="1"/>
        <v>0</v>
      </c>
      <c r="N18" s="340" t="str">
        <f t="shared" si="2"/>
        <v xml:space="preserve">-    </v>
      </c>
      <c r="O18" s="342"/>
    </row>
    <row r="19" spans="1:15" s="55" customFormat="1" outlineLevel="1">
      <c r="A19" s="209"/>
      <c r="B19" s="221"/>
      <c r="C19" s="222"/>
      <c r="D19" s="223"/>
      <c r="E19" s="222" t="s">
        <v>3542</v>
      </c>
      <c r="F19" s="625" t="s">
        <v>3543</v>
      </c>
      <c r="G19" s="626"/>
      <c r="H19" s="225">
        <f>SUM(H20:H23)</f>
        <v>93184.89</v>
      </c>
      <c r="I19" s="225">
        <f>SUM(I20:I23)</f>
        <v>281043.99</v>
      </c>
      <c r="J19" s="225">
        <f t="shared" ref="J19:L19" si="4">SUM(J20:J23)</f>
        <v>497301.3</v>
      </c>
      <c r="K19" s="225">
        <f t="shared" si="4"/>
        <v>400000</v>
      </c>
      <c r="L19" s="225">
        <f t="shared" si="4"/>
        <v>400000</v>
      </c>
      <c r="M19" s="226">
        <f t="shared" si="1"/>
        <v>118956.01000000001</v>
      </c>
      <c r="N19" s="340">
        <f t="shared" si="2"/>
        <v>0.42326473517544355</v>
      </c>
      <c r="O19" s="258"/>
    </row>
    <row r="20" spans="1:15" s="55" customFormat="1" outlineLevel="1">
      <c r="A20" s="209" t="s">
        <v>3544</v>
      </c>
      <c r="B20" s="221"/>
      <c r="C20" s="222"/>
      <c r="D20" s="223"/>
      <c r="E20" s="223"/>
      <c r="F20" s="238" t="s">
        <v>2849</v>
      </c>
      <c r="G20" s="236" t="s">
        <v>3545</v>
      </c>
      <c r="H20" s="341">
        <f>SUMIF('pdc2019'!$J$8:$J$1159,'CE statale pluri'!$A20,'pdc2019'!$N$8:$N$1159)</f>
        <v>0</v>
      </c>
      <c r="I20" s="341">
        <f>SUMIF('pdc2019'!$J$8:$J$1159,'CE statale pluri'!$A20,'pdc2019'!P$8:P$1159)</f>
        <v>0</v>
      </c>
      <c r="J20" s="341">
        <f>SUMIF('pdc2019'!$J$8:$J$1159,'CE statale pluri'!$A20,'pdc2019'!Q$8:Q$1159)</f>
        <v>0</v>
      </c>
      <c r="K20" s="341">
        <f>SUMIF('pdc2019'!$J$8:$J$1159,'CE statale pluri'!$A20,'pdc2019'!R$8:R$1159)</f>
        <v>0</v>
      </c>
      <c r="L20" s="341">
        <f>SUMIF('pdc2019'!$J$8:$J$1159,'CE statale pluri'!$A20,'pdc2019'!S$8:S$1159)</f>
        <v>0</v>
      </c>
      <c r="M20" s="341">
        <f t="shared" si="1"/>
        <v>0</v>
      </c>
      <c r="N20" s="344" t="str">
        <f t="shared" si="2"/>
        <v xml:space="preserve">-    </v>
      </c>
      <c r="O20" s="258"/>
    </row>
    <row r="21" spans="1:15" s="55" customFormat="1" outlineLevel="1">
      <c r="A21" s="209" t="s">
        <v>3490</v>
      </c>
      <c r="B21" s="221"/>
      <c r="C21" s="222"/>
      <c r="D21" s="223"/>
      <c r="E21" s="223"/>
      <c r="F21" s="238" t="s">
        <v>2858</v>
      </c>
      <c r="G21" s="236" t="s">
        <v>3546</v>
      </c>
      <c r="H21" s="341">
        <f>SUMIF('pdc2019'!$J$8:$J$1159,'CE statale pluri'!$A21,'pdc2019'!$N$8:$N$1159)</f>
        <v>47301.3</v>
      </c>
      <c r="I21" s="341">
        <f>SUMIF('pdc2019'!$J$8:$J$1159,'CE statale pluri'!$A21,'pdc2019'!P$8:P$1159)</f>
        <v>81043.990000000005</v>
      </c>
      <c r="J21" s="341">
        <f>SUMIF('pdc2019'!$J$8:$J$1159,'CE statale pluri'!$A21,'pdc2019'!Q$8:Q$1159)</f>
        <v>47301.3</v>
      </c>
      <c r="K21" s="341">
        <f>SUMIF('pdc2019'!$J$8:$J$1159,'CE statale pluri'!$A21,'pdc2019'!R$8:R$1159)</f>
        <v>0</v>
      </c>
      <c r="L21" s="341">
        <f>SUMIF('pdc2019'!$J$8:$J$1159,'CE statale pluri'!$A21,'pdc2019'!S$8:S$1159)</f>
        <v>0</v>
      </c>
      <c r="M21" s="341">
        <f t="shared" si="1"/>
        <v>-81043.990000000005</v>
      </c>
      <c r="N21" s="344">
        <f t="shared" si="2"/>
        <v>-1</v>
      </c>
      <c r="O21" s="258"/>
    </row>
    <row r="22" spans="1:15" s="55" customFormat="1" outlineLevel="1">
      <c r="A22" s="209" t="s">
        <v>3044</v>
      </c>
      <c r="B22" s="221"/>
      <c r="C22" s="222"/>
      <c r="D22" s="223"/>
      <c r="E22" s="223"/>
      <c r="F22" s="238" t="s">
        <v>2861</v>
      </c>
      <c r="G22" s="236" t="s">
        <v>3547</v>
      </c>
      <c r="H22" s="341">
        <f>SUMIF('pdc2019'!$J$8:$J$1159,'CE statale pluri'!$A22,'pdc2019'!$N$8:$N$1159)</f>
        <v>45883.59</v>
      </c>
      <c r="I22" s="341">
        <f>SUMIF('pdc2019'!$J$8:$J$1159,'CE statale pluri'!$A22,'pdc2019'!P$8:P$1159)</f>
        <v>200000</v>
      </c>
      <c r="J22" s="341">
        <f>SUMIF('pdc2019'!$J$8:$J$1159,'CE statale pluri'!$A22,'pdc2019'!Q$8:Q$1159)</f>
        <v>450000</v>
      </c>
      <c r="K22" s="341">
        <f>SUMIF('pdc2019'!$J$8:$J$1159,'CE statale pluri'!$A22,'pdc2019'!R$8:R$1159)</f>
        <v>400000</v>
      </c>
      <c r="L22" s="341">
        <f>SUMIF('pdc2019'!$J$8:$J$1159,'CE statale pluri'!$A22,'pdc2019'!S$8:S$1159)</f>
        <v>400000</v>
      </c>
      <c r="M22" s="341">
        <f t="shared" si="1"/>
        <v>200000</v>
      </c>
      <c r="N22" s="344">
        <f t="shared" si="2"/>
        <v>1</v>
      </c>
      <c r="O22" s="258"/>
    </row>
    <row r="23" spans="1:15" s="55" customFormat="1" outlineLevel="1">
      <c r="A23" s="209" t="s">
        <v>3499</v>
      </c>
      <c r="B23" s="221"/>
      <c r="C23" s="222"/>
      <c r="D23" s="223"/>
      <c r="E23" s="223"/>
      <c r="F23" s="238" t="s">
        <v>2864</v>
      </c>
      <c r="G23" s="236" t="s">
        <v>3548</v>
      </c>
      <c r="H23" s="341">
        <f>SUMIF('pdc2019'!$J$8:$J$1159,'CE statale pluri'!$A23,'pdc2019'!$N$8:$N$1159)</f>
        <v>0</v>
      </c>
      <c r="I23" s="341">
        <f>SUMIF('pdc2019'!$J$8:$J$1159,'CE statale pluri'!$A23,'pdc2019'!P$8:P$1159)</f>
        <v>0</v>
      </c>
      <c r="J23" s="341">
        <f>SUMIF('pdc2019'!$J$8:$J$1159,'CE statale pluri'!$A23,'pdc2019'!Q$8:Q$1159)</f>
        <v>0</v>
      </c>
      <c r="K23" s="341">
        <f>SUMIF('pdc2019'!$J$8:$J$1159,'CE statale pluri'!$A23,'pdc2019'!R$8:R$1159)</f>
        <v>0</v>
      </c>
      <c r="L23" s="341">
        <f>SUMIF('pdc2019'!$J$8:$J$1159,'CE statale pluri'!$A23,'pdc2019'!S$8:S$1159)</f>
        <v>0</v>
      </c>
      <c r="M23" s="341">
        <f t="shared" si="1"/>
        <v>0</v>
      </c>
      <c r="N23" s="344" t="str">
        <f t="shared" si="2"/>
        <v xml:space="preserve">-    </v>
      </c>
      <c r="O23" s="258"/>
    </row>
    <row r="24" spans="1:15" s="55" customFormat="1" outlineLevel="1">
      <c r="A24" s="209" t="s">
        <v>3549</v>
      </c>
      <c r="B24" s="221"/>
      <c r="C24" s="222"/>
      <c r="D24" s="223"/>
      <c r="E24" s="222" t="s">
        <v>3550</v>
      </c>
      <c r="F24" s="625" t="s">
        <v>3551</v>
      </c>
      <c r="G24" s="626"/>
      <c r="H24" s="225">
        <f>SUMIF('pdc2019'!$J$8:$J$1159,'CE statale pluri'!$A24,'pdc2019'!$N$8:$N$1159)</f>
        <v>0</v>
      </c>
      <c r="I24" s="341">
        <f>SUMIF('pdc2019'!$J$8:$J$1159,'CE statale pluri'!$A24,'pdc2019'!P$8:P$1159)</f>
        <v>0</v>
      </c>
      <c r="J24" s="341">
        <f>SUMIF('pdc2019'!$J$8:$J$1159,'CE statale pluri'!$A24,'pdc2019'!Q$8:Q$1159)</f>
        <v>0</v>
      </c>
      <c r="K24" s="341">
        <f>SUMIF('pdc2019'!$J$8:$J$1159,'CE statale pluri'!$A24,'pdc2019'!R$8:R$1159)</f>
        <v>0</v>
      </c>
      <c r="L24" s="341">
        <f>SUMIF('pdc2019'!$J$8:$J$1159,'CE statale pluri'!$A24,'pdc2019'!S$8:S$1159)</f>
        <v>0</v>
      </c>
      <c r="M24" s="226">
        <f t="shared" si="1"/>
        <v>0</v>
      </c>
      <c r="N24" s="340" t="str">
        <f t="shared" si="2"/>
        <v xml:space="preserve">-    </v>
      </c>
      <c r="O24" s="258"/>
    </row>
    <row r="25" spans="1:15" s="79" customFormat="1">
      <c r="A25" s="209" t="s">
        <v>3552</v>
      </c>
      <c r="B25" s="240"/>
      <c r="C25" s="216" t="s">
        <v>2858</v>
      </c>
      <c r="D25" s="628" t="s">
        <v>3553</v>
      </c>
      <c r="E25" s="628"/>
      <c r="F25" s="628"/>
      <c r="G25" s="629"/>
      <c r="H25" s="217">
        <f>SUMIF('pdc2019'!$J$8:$J$1159,'CE statale pluri'!$A25,'pdc2019'!$N$8:$N$1159)</f>
        <v>-1628.07</v>
      </c>
      <c r="I25" s="217">
        <f>SUMIF('pdc2019'!$J$8:$J$1159,'CE statale pluri'!$A25,'pdc2019'!P$8:P$1159)</f>
        <v>0</v>
      </c>
      <c r="J25" s="217">
        <f>SUMIF('pdc2019'!$J$8:$J$1159,'CE statale pluri'!$A25,'pdc2019'!Q$8:Q$1159)</f>
        <v>0</v>
      </c>
      <c r="K25" s="217">
        <f>SUMIF('pdc2019'!$J$8:$J$1159,'CE statale pluri'!$A25,'pdc2019'!R$8:R$1159)</f>
        <v>0</v>
      </c>
      <c r="L25" s="217">
        <f>SUMIF('pdc2019'!$J$8:$J$1159,'CE statale pluri'!$A25,'pdc2019'!S$8:S$1159)</f>
        <v>0</v>
      </c>
      <c r="M25" s="218">
        <f t="shared" si="1"/>
        <v>0</v>
      </c>
      <c r="N25" s="339" t="str">
        <f t="shared" si="2"/>
        <v xml:space="preserve">-    </v>
      </c>
      <c r="O25" s="265"/>
    </row>
    <row r="26" spans="1:15" s="79" customFormat="1">
      <c r="A26" s="209" t="s">
        <v>3514</v>
      </c>
      <c r="B26" s="240"/>
      <c r="C26" s="216" t="s">
        <v>2861</v>
      </c>
      <c r="D26" s="628" t="s">
        <v>3554</v>
      </c>
      <c r="E26" s="628"/>
      <c r="F26" s="628"/>
      <c r="G26" s="629"/>
      <c r="H26" s="217">
        <f>SUMIF('pdc2019'!$J$8:$J$1159,'CE statale pluri'!$A26,'pdc2019'!$N$8:$N$1159)</f>
        <v>0</v>
      </c>
      <c r="I26" s="217">
        <f>SUMIF('pdc2019'!$J$8:$J$1159,'CE statale pluri'!$A26,'pdc2019'!P$8:P$1159)</f>
        <v>0</v>
      </c>
      <c r="J26" s="217">
        <f>SUMIF('pdc2019'!$J$8:$J$1159,'CE statale pluri'!$A26,'pdc2019'!Q$8:Q$1159)</f>
        <v>0</v>
      </c>
      <c r="K26" s="217">
        <f>SUMIF('pdc2019'!$J$8:$J$1159,'CE statale pluri'!$A26,'pdc2019'!R$8:R$1159)</f>
        <v>0</v>
      </c>
      <c r="L26" s="217">
        <f>SUMIF('pdc2019'!$J$8:$J$1159,'CE statale pluri'!$A26,'pdc2019'!S$8:S$1159)</f>
        <v>0</v>
      </c>
      <c r="M26" s="218">
        <f t="shared" si="1"/>
        <v>0</v>
      </c>
      <c r="N26" s="339" t="str">
        <f t="shared" si="2"/>
        <v xml:space="preserve">-    </v>
      </c>
      <c r="O26" s="265"/>
    </row>
    <row r="27" spans="1:15" s="79" customFormat="1">
      <c r="A27" s="209"/>
      <c r="B27" s="215"/>
      <c r="C27" s="216" t="s">
        <v>2864</v>
      </c>
      <c r="D27" s="628" t="s">
        <v>3555</v>
      </c>
      <c r="E27" s="628"/>
      <c r="F27" s="628"/>
      <c r="G27" s="629"/>
      <c r="H27" s="217">
        <f>SUM(H28:H30)</f>
        <v>62686886.729999997</v>
      </c>
      <c r="I27" s="217">
        <f>SUM(I28:I30)</f>
        <v>62325000</v>
      </c>
      <c r="J27" s="217">
        <f t="shared" ref="J27:L27" si="5">SUM(J28:J30)</f>
        <v>63818000</v>
      </c>
      <c r="K27" s="217">
        <f t="shared" si="5"/>
        <v>63818000</v>
      </c>
      <c r="L27" s="217">
        <f t="shared" si="5"/>
        <v>63818000</v>
      </c>
      <c r="M27" s="218">
        <f t="shared" si="1"/>
        <v>1493000</v>
      </c>
      <c r="N27" s="339">
        <f t="shared" si="2"/>
        <v>2.3955074207781788E-2</v>
      </c>
      <c r="O27" s="265"/>
    </row>
    <row r="28" spans="1:15" s="55" customFormat="1" ht="30" customHeight="1" outlineLevel="2">
      <c r="A28" s="209" t="s">
        <v>3305</v>
      </c>
      <c r="B28" s="221"/>
      <c r="C28" s="222"/>
      <c r="D28" s="223"/>
      <c r="E28" s="222" t="s">
        <v>2851</v>
      </c>
      <c r="F28" s="625" t="s">
        <v>3557</v>
      </c>
      <c r="G28" s="626"/>
      <c r="H28" s="225">
        <f>SUMIF('pdc2019'!$J$8:$J$1159,'CE statale pluri'!$A28,'pdc2019'!$N$8:$N$1159)</f>
        <v>44600647.119999997</v>
      </c>
      <c r="I28" s="225">
        <f>SUMIF('pdc2019'!$J$8:$J$1159,'CE statale pluri'!$A28,'pdc2019'!P$8:P$1159)</f>
        <v>44486000</v>
      </c>
      <c r="J28" s="225">
        <f>SUMIF('pdc2019'!$J$8:$J$1159,'CE statale pluri'!$A28,'pdc2019'!Q$8:Q$1159)</f>
        <v>45979000</v>
      </c>
      <c r="K28" s="225">
        <f>SUMIF('pdc2019'!$J$8:$J$1159,'CE statale pluri'!$A28,'pdc2019'!R$8:R$1159)</f>
        <v>45979000</v>
      </c>
      <c r="L28" s="225">
        <f>SUMIF('pdc2019'!$J$8:$J$1159,'CE statale pluri'!$A28,'pdc2019'!S$8:S$1159)</f>
        <v>45979000</v>
      </c>
      <c r="M28" s="226">
        <f t="shared" si="1"/>
        <v>1493000</v>
      </c>
      <c r="N28" s="340">
        <f t="shared" si="2"/>
        <v>3.3561120352470442E-2</v>
      </c>
      <c r="O28" s="258"/>
    </row>
    <row r="29" spans="1:15" s="55" customFormat="1" outlineLevel="2">
      <c r="A29" s="209" t="s">
        <v>2946</v>
      </c>
      <c r="B29" s="221"/>
      <c r="C29" s="222"/>
      <c r="D29" s="223"/>
      <c r="E29" s="222" t="s">
        <v>2853</v>
      </c>
      <c r="F29" s="625" t="s">
        <v>3559</v>
      </c>
      <c r="G29" s="626"/>
      <c r="H29" s="225">
        <f>SUMIF('pdc2019'!$J$8:$J$1159,'CE statale pluri'!$A29,'pdc2019'!$N$8:$N$1159)</f>
        <v>3519111.9000000004</v>
      </c>
      <c r="I29" s="225">
        <f>SUMIF('pdc2019'!$J$8:$J$1159,'CE statale pluri'!$A29,'pdc2019'!P$8:P$1159)</f>
        <v>3455000</v>
      </c>
      <c r="J29" s="225">
        <f>SUMIF('pdc2019'!$J$8:$J$1159,'CE statale pluri'!$A29,'pdc2019'!Q$8:Q$1159)</f>
        <v>3455000</v>
      </c>
      <c r="K29" s="225">
        <f>SUMIF('pdc2019'!$J$8:$J$1159,'CE statale pluri'!$A29,'pdc2019'!R$8:R$1159)</f>
        <v>3455000</v>
      </c>
      <c r="L29" s="225">
        <f>SUMIF('pdc2019'!$J$8:$J$1159,'CE statale pluri'!$A29,'pdc2019'!S$8:S$1159)</f>
        <v>3455000</v>
      </c>
      <c r="M29" s="226">
        <f t="shared" si="1"/>
        <v>0</v>
      </c>
      <c r="N29" s="340">
        <f t="shared" si="2"/>
        <v>0</v>
      </c>
      <c r="O29" s="258"/>
    </row>
    <row r="30" spans="1:15" s="55" customFormat="1" outlineLevel="2">
      <c r="A30" s="209" t="s">
        <v>2801</v>
      </c>
      <c r="B30" s="221"/>
      <c r="C30" s="222"/>
      <c r="D30" s="223"/>
      <c r="E30" s="222" t="s">
        <v>3542</v>
      </c>
      <c r="F30" s="625" t="s">
        <v>3561</v>
      </c>
      <c r="G30" s="626"/>
      <c r="H30" s="225">
        <f>SUMIF('pdc2019'!$J$8:$J$1159,'CE statale pluri'!$A30,'pdc2019'!$N$8:$N$1159)</f>
        <v>14567127.709999999</v>
      </c>
      <c r="I30" s="225">
        <f>SUMIF('pdc2019'!$J$8:$J$1159,'CE statale pluri'!$A30,'pdc2019'!P$8:P$1159)</f>
        <v>14384000</v>
      </c>
      <c r="J30" s="225">
        <f>SUMIF('pdc2019'!$J$8:$J$1159,'CE statale pluri'!$A30,'pdc2019'!Q$8:Q$1159)</f>
        <v>14384000</v>
      </c>
      <c r="K30" s="225">
        <f>SUMIF('pdc2019'!$J$8:$J$1159,'CE statale pluri'!$A30,'pdc2019'!R$8:R$1159)</f>
        <v>14384000</v>
      </c>
      <c r="L30" s="225">
        <f>SUMIF('pdc2019'!$J$8:$J$1159,'CE statale pluri'!$A30,'pdc2019'!S$8:S$1159)</f>
        <v>14384000</v>
      </c>
      <c r="M30" s="226">
        <f t="shared" si="1"/>
        <v>0</v>
      </c>
      <c r="N30" s="340">
        <f t="shared" si="2"/>
        <v>0</v>
      </c>
      <c r="O30" s="258"/>
    </row>
    <row r="31" spans="1:15" s="79" customFormat="1">
      <c r="A31" s="209" t="s">
        <v>3562</v>
      </c>
      <c r="B31" s="240"/>
      <c r="C31" s="216" t="s">
        <v>3537</v>
      </c>
      <c r="D31" s="628" t="s">
        <v>3563</v>
      </c>
      <c r="E31" s="628"/>
      <c r="F31" s="628"/>
      <c r="G31" s="629"/>
      <c r="H31" s="217">
        <f>SUMIF('pdc2019'!$J$8:$J$1159,'CE statale pluri'!$A31,'pdc2019'!$N$8:$N$1159)</f>
        <v>22147624.57</v>
      </c>
      <c r="I31" s="217">
        <f>SUMIF('pdc2019'!$J$8:$J$1159,'CE statale pluri'!$A31,'pdc2019'!P$8:P$1159)</f>
        <v>18485000</v>
      </c>
      <c r="J31" s="217">
        <f>SUMIF('pdc2019'!$J$8:$J$1159,'CE statale pluri'!$A31,'pdc2019'!Q$8:Q$1159)</f>
        <v>18485000</v>
      </c>
      <c r="K31" s="217">
        <f>SUMIF('pdc2019'!$J$8:$J$1159,'CE statale pluri'!$A31,'pdc2019'!R$8:R$1159)</f>
        <v>18485000</v>
      </c>
      <c r="L31" s="217">
        <f>SUMIF('pdc2019'!$J$8:$J$1159,'CE statale pluri'!$A31,'pdc2019'!S$8:S$1159)</f>
        <v>18485000</v>
      </c>
      <c r="M31" s="218">
        <f t="shared" si="1"/>
        <v>0</v>
      </c>
      <c r="N31" s="339">
        <f t="shared" si="2"/>
        <v>0</v>
      </c>
      <c r="O31" s="265"/>
    </row>
    <row r="32" spans="1:15" s="79" customFormat="1">
      <c r="A32" s="209" t="s">
        <v>3564</v>
      </c>
      <c r="B32" s="240"/>
      <c r="C32" s="216" t="s">
        <v>3540</v>
      </c>
      <c r="D32" s="628" t="s">
        <v>3565</v>
      </c>
      <c r="E32" s="628"/>
      <c r="F32" s="628"/>
      <c r="G32" s="629"/>
      <c r="H32" s="217">
        <f>SUMIF('pdc2019'!$J$8:$J$1159,'CE statale pluri'!$A32,'pdc2019'!$N$8:$N$1159)</f>
        <v>20554351.309999999</v>
      </c>
      <c r="I32" s="217">
        <f>SUMIF('pdc2019'!$J$8:$J$1159,'CE statale pluri'!$A32,'pdc2019'!P$8:P$1159)</f>
        <v>20300000</v>
      </c>
      <c r="J32" s="217">
        <f>SUMIF('pdc2019'!$J$8:$J$1159,'CE statale pluri'!$A32,'pdc2019'!Q$8:Q$1159)</f>
        <v>20300000</v>
      </c>
      <c r="K32" s="217">
        <f>SUMIF('pdc2019'!$J$8:$J$1159,'CE statale pluri'!$A32,'pdc2019'!R$8:R$1159)</f>
        <v>20300000</v>
      </c>
      <c r="L32" s="217">
        <f>SUMIF('pdc2019'!$J$8:$J$1159,'CE statale pluri'!$A32,'pdc2019'!S$8:S$1159)</f>
        <v>20300000</v>
      </c>
      <c r="M32" s="218">
        <f t="shared" si="1"/>
        <v>0</v>
      </c>
      <c r="N32" s="339">
        <f t="shared" si="2"/>
        <v>0</v>
      </c>
      <c r="O32" s="265"/>
    </row>
    <row r="33" spans="1:15" s="79" customFormat="1">
      <c r="A33" s="209" t="s">
        <v>3566</v>
      </c>
      <c r="B33" s="240"/>
      <c r="C33" s="216" t="s">
        <v>3567</v>
      </c>
      <c r="D33" s="628" t="s">
        <v>3568</v>
      </c>
      <c r="E33" s="628"/>
      <c r="F33" s="628"/>
      <c r="G33" s="629"/>
      <c r="H33" s="217">
        <f>SUMIF('pdc2019'!$J$8:$J$1159,'CE statale pluri'!$A33,'pdc2019'!$N$8:$N$1159)</f>
        <v>25402235.600000001</v>
      </c>
      <c r="I33" s="217">
        <f>SUMIF('pdc2019'!$J$8:$J$1159,'CE statale pluri'!$A33,'pdc2019'!P$8:P$1159)</f>
        <v>25401000</v>
      </c>
      <c r="J33" s="217">
        <f>SUMIF('pdc2019'!$J$8:$J$1159,'CE statale pluri'!$A33,'pdc2019'!Q$8:Q$1159)</f>
        <v>25401000</v>
      </c>
      <c r="K33" s="217">
        <f>SUMIF('pdc2019'!$J$8:$J$1159,'CE statale pluri'!$A33,'pdc2019'!R$8:R$1159)</f>
        <v>25401000</v>
      </c>
      <c r="L33" s="217">
        <f>SUMIF('pdc2019'!$J$8:$J$1159,'CE statale pluri'!$A33,'pdc2019'!S$8:S$1159)</f>
        <v>25401000</v>
      </c>
      <c r="M33" s="218">
        <f t="shared" si="1"/>
        <v>0</v>
      </c>
      <c r="N33" s="339">
        <f t="shared" si="2"/>
        <v>0</v>
      </c>
      <c r="O33" s="265"/>
    </row>
    <row r="34" spans="1:15" s="79" customFormat="1">
      <c r="A34" s="209" t="s">
        <v>3569</v>
      </c>
      <c r="B34" s="240"/>
      <c r="C34" s="216" t="s">
        <v>3570</v>
      </c>
      <c r="D34" s="628" t="s">
        <v>3571</v>
      </c>
      <c r="E34" s="628"/>
      <c r="F34" s="628"/>
      <c r="G34" s="629"/>
      <c r="H34" s="217">
        <f>SUMIF('pdc2019'!$J$8:$J$1159,'CE statale pluri'!$A34,'pdc2019'!$N$8:$N$1159)</f>
        <v>27185.11</v>
      </c>
      <c r="I34" s="217">
        <f>SUMIF('pdc2019'!$J$8:$J$1159,'CE statale pluri'!$A34,'pdc2019'!P$8:P$1159)</f>
        <v>0</v>
      </c>
      <c r="J34" s="217">
        <f>SUMIF('pdc2019'!$J$8:$J$1159,'CE statale pluri'!$A34,'pdc2019'!Q$8:Q$1159)</f>
        <v>0</v>
      </c>
      <c r="K34" s="217">
        <f>SUMIF('pdc2019'!$J$8:$J$1159,'CE statale pluri'!$A34,'pdc2019'!R$8:R$1159)</f>
        <v>0</v>
      </c>
      <c r="L34" s="217">
        <f>SUMIF('pdc2019'!$J$8:$J$1159,'CE statale pluri'!$A34,'pdc2019'!S$8:S$1159)</f>
        <v>0</v>
      </c>
      <c r="M34" s="218">
        <f t="shared" si="1"/>
        <v>0</v>
      </c>
      <c r="N34" s="339" t="str">
        <f t="shared" si="2"/>
        <v xml:space="preserve">-    </v>
      </c>
      <c r="O34" s="265"/>
    </row>
    <row r="35" spans="1:15" s="79" customFormat="1">
      <c r="A35" s="209" t="s">
        <v>3572</v>
      </c>
      <c r="B35" s="240"/>
      <c r="C35" s="216" t="s">
        <v>3573</v>
      </c>
      <c r="D35" s="628" t="s">
        <v>3574</v>
      </c>
      <c r="E35" s="628"/>
      <c r="F35" s="628"/>
      <c r="G35" s="629"/>
      <c r="H35" s="217">
        <f>SUMIF('pdc2019'!$J$8:$J$1159,'CE statale pluri'!$A35,'pdc2019'!$N$8:$N$1159)</f>
        <v>4631908.5199999996</v>
      </c>
      <c r="I35" s="217">
        <f>SUMIF('pdc2019'!$J$8:$J$1159,'CE statale pluri'!$A35,'pdc2019'!P$8:P$1159)</f>
        <v>4803600</v>
      </c>
      <c r="J35" s="217">
        <f>SUMIF('pdc2019'!$J$8:$J$1159,'CE statale pluri'!$A35,'pdc2019'!Q$8:Q$1159)</f>
        <v>4783600</v>
      </c>
      <c r="K35" s="217">
        <f>SUMIF('pdc2019'!$J$8:$J$1159,'CE statale pluri'!$A35,'pdc2019'!R$8:R$1159)</f>
        <v>4783600</v>
      </c>
      <c r="L35" s="217">
        <f>SUMIF('pdc2019'!$J$8:$J$1159,'CE statale pluri'!$A35,'pdc2019'!S$8:S$1159)</f>
        <v>4783600</v>
      </c>
      <c r="M35" s="218">
        <f t="shared" si="1"/>
        <v>-20000</v>
      </c>
      <c r="N35" s="339">
        <f t="shared" si="2"/>
        <v>-4.1635440086601715E-3</v>
      </c>
      <c r="O35" s="265"/>
    </row>
    <row r="36" spans="1:15" s="79" customFormat="1">
      <c r="A36" s="209"/>
      <c r="B36" s="241"/>
      <c r="C36" s="242" t="s">
        <v>3575</v>
      </c>
      <c r="D36" s="242"/>
      <c r="E36" s="242"/>
      <c r="F36" s="242"/>
      <c r="G36" s="243"/>
      <c r="H36" s="244">
        <f>H10+H25+H26+H27+SUM(H31:H35)</f>
        <v>1332758153.0100002</v>
      </c>
      <c r="I36" s="244">
        <f>I10+I25+I26+I27+SUM(I31:I35)</f>
        <v>1369417706.9300001</v>
      </c>
      <c r="J36" s="244">
        <f t="shared" ref="J36:L36" si="6">J10+J25+J26+J27+SUM(J31:J35)</f>
        <v>1385555542.5699999</v>
      </c>
      <c r="K36" s="244">
        <f t="shared" si="6"/>
        <v>1420783500</v>
      </c>
      <c r="L36" s="244">
        <f t="shared" si="6"/>
        <v>1449673497.76</v>
      </c>
      <c r="M36" s="245">
        <f t="shared" si="1"/>
        <v>80255790.829999924</v>
      </c>
      <c r="N36" s="345">
        <f t="shared" si="2"/>
        <v>5.8605778517293788E-2</v>
      </c>
      <c r="O36" s="265"/>
    </row>
    <row r="37" spans="1:15" s="55" customFormat="1" ht="14.25" customHeight="1">
      <c r="A37" s="209"/>
      <c r="B37" s="248"/>
      <c r="C37" s="222"/>
      <c r="D37" s="223"/>
      <c r="E37" s="223"/>
      <c r="F37" s="223"/>
      <c r="G37" s="224"/>
      <c r="H37" s="225"/>
      <c r="I37" s="225"/>
      <c r="J37" s="225"/>
      <c r="K37" s="225"/>
      <c r="L37" s="225"/>
      <c r="M37" s="226"/>
      <c r="N37" s="340"/>
      <c r="O37" s="258"/>
    </row>
    <row r="38" spans="1:15" s="79" customFormat="1">
      <c r="A38" s="209"/>
      <c r="B38" s="215" t="s">
        <v>2135</v>
      </c>
      <c r="C38" s="630" t="s">
        <v>2178</v>
      </c>
      <c r="D38" s="630"/>
      <c r="E38" s="630"/>
      <c r="F38" s="630"/>
      <c r="G38" s="631"/>
      <c r="H38" s="217"/>
      <c r="I38" s="217"/>
      <c r="J38" s="217"/>
      <c r="K38" s="217"/>
      <c r="L38" s="217"/>
      <c r="M38" s="218"/>
      <c r="N38" s="339"/>
      <c r="O38" s="265"/>
    </row>
    <row r="39" spans="1:15" s="79" customFormat="1">
      <c r="A39" s="209"/>
      <c r="B39" s="240"/>
      <c r="C39" s="216" t="s">
        <v>2849</v>
      </c>
      <c r="D39" s="628" t="s">
        <v>2180</v>
      </c>
      <c r="E39" s="628"/>
      <c r="F39" s="628"/>
      <c r="G39" s="629"/>
      <c r="H39" s="217">
        <f>SUM(H40:H41)</f>
        <v>189893103.14000005</v>
      </c>
      <c r="I39" s="217">
        <f>SUM(I40:I41)</f>
        <v>201033500</v>
      </c>
      <c r="J39" s="217">
        <f t="shared" ref="J39:L39" si="7">SUM(J40:J41)</f>
        <v>209161042.56999999</v>
      </c>
      <c r="K39" s="217">
        <f t="shared" si="7"/>
        <v>220639000</v>
      </c>
      <c r="L39" s="217">
        <f t="shared" si="7"/>
        <v>231846997.75999999</v>
      </c>
      <c r="M39" s="218">
        <f t="shared" si="1"/>
        <v>30813497.75999999</v>
      </c>
      <c r="N39" s="339">
        <f t="shared" si="2"/>
        <v>0.15327543797426793</v>
      </c>
      <c r="O39" s="265"/>
    </row>
    <row r="40" spans="1:15" s="55" customFormat="1" outlineLevel="1">
      <c r="A40" s="209" t="s">
        <v>3631</v>
      </c>
      <c r="B40" s="221"/>
      <c r="C40" s="222"/>
      <c r="D40" s="223"/>
      <c r="E40" s="222" t="s">
        <v>2851</v>
      </c>
      <c r="F40" s="625" t="s">
        <v>3576</v>
      </c>
      <c r="G40" s="626"/>
      <c r="H40" s="225">
        <f>SUMIF('pdc2019'!$J$8:$J$1159,'CE statale pluri'!$A40,'pdc2019'!$N$8:$N$1159)</f>
        <v>171947489.75000003</v>
      </c>
      <c r="I40" s="225">
        <f>SUMIF('pdc2019'!$J$8:$J$1159,'CE statale pluri'!$A40,'pdc2019'!P$8:P$1159)</f>
        <v>182388500</v>
      </c>
      <c r="J40" s="225">
        <f>SUMIF('pdc2019'!$J$8:$J$1159,'CE statale pluri'!$A40,'pdc2019'!Q$8:Q$1159)</f>
        <v>190041042.56999999</v>
      </c>
      <c r="K40" s="225">
        <f>SUMIF('pdc2019'!$J$8:$J$1159,'CE statale pluri'!$A40,'pdc2019'!R$8:R$1159)</f>
        <v>201028000</v>
      </c>
      <c r="L40" s="225">
        <f>SUMIF('pdc2019'!$J$8:$J$1159,'CE statale pluri'!$A40,'pdc2019'!S$8:S$1159)</f>
        <v>211728997.75999999</v>
      </c>
      <c r="M40" s="226">
        <f t="shared" si="1"/>
        <v>29340497.75999999</v>
      </c>
      <c r="N40" s="340">
        <f t="shared" si="2"/>
        <v>0.16086813455892224</v>
      </c>
      <c r="O40" s="258"/>
    </row>
    <row r="41" spans="1:15" s="55" customFormat="1" outlineLevel="1">
      <c r="A41" s="209" t="s">
        <v>3110</v>
      </c>
      <c r="B41" s="221"/>
      <c r="C41" s="222"/>
      <c r="D41" s="223"/>
      <c r="E41" s="222" t="s">
        <v>2853</v>
      </c>
      <c r="F41" s="625" t="s">
        <v>3577</v>
      </c>
      <c r="G41" s="626"/>
      <c r="H41" s="225">
        <f>SUMIF('pdc2019'!$J$8:$J$1159,'CE statale pluri'!$A41,'pdc2019'!$N$8:$N$1159)</f>
        <v>17945613.390000001</v>
      </c>
      <c r="I41" s="225">
        <f>SUMIF('pdc2019'!$J$8:$J$1159,'CE statale pluri'!$A41,'pdc2019'!P$8:P$1159)</f>
        <v>18645000</v>
      </c>
      <c r="J41" s="225">
        <f>SUMIF('pdc2019'!$J$8:$J$1159,'CE statale pluri'!$A41,'pdc2019'!Q$8:Q$1159)</f>
        <v>19120000</v>
      </c>
      <c r="K41" s="225">
        <f>SUMIF('pdc2019'!$J$8:$J$1159,'CE statale pluri'!$A41,'pdc2019'!R$8:R$1159)</f>
        <v>19611000</v>
      </c>
      <c r="L41" s="225">
        <f>SUMIF('pdc2019'!$J$8:$J$1159,'CE statale pluri'!$A41,'pdc2019'!S$8:S$1159)</f>
        <v>20118000</v>
      </c>
      <c r="M41" s="226">
        <f t="shared" si="1"/>
        <v>1473000</v>
      </c>
      <c r="N41" s="340">
        <f t="shared" si="2"/>
        <v>7.9002413515687847E-2</v>
      </c>
      <c r="O41" s="258"/>
    </row>
    <row r="42" spans="1:15" s="79" customFormat="1">
      <c r="A42" s="209"/>
      <c r="B42" s="240"/>
      <c r="C42" s="216" t="s">
        <v>2858</v>
      </c>
      <c r="D42" s="628" t="s">
        <v>3578</v>
      </c>
      <c r="E42" s="628"/>
      <c r="F42" s="628"/>
      <c r="G42" s="629"/>
      <c r="H42" s="217">
        <f>SUM(H43:H59)</f>
        <v>336772440.71000004</v>
      </c>
      <c r="I42" s="217">
        <f>SUM(I43:I59)</f>
        <v>346270000</v>
      </c>
      <c r="J42" s="217">
        <f t="shared" ref="J42:L42" si="8">SUM(J43:J59)</f>
        <v>357006000</v>
      </c>
      <c r="K42" s="217">
        <f t="shared" si="8"/>
        <v>359534000</v>
      </c>
      <c r="L42" s="217">
        <f t="shared" si="8"/>
        <v>361486000</v>
      </c>
      <c r="M42" s="218">
        <f t="shared" si="1"/>
        <v>15216000</v>
      </c>
      <c r="N42" s="339">
        <f t="shared" si="2"/>
        <v>4.3942588153752848E-2</v>
      </c>
      <c r="O42" s="265"/>
    </row>
    <row r="43" spans="1:15" s="55" customFormat="1" outlineLevel="1">
      <c r="A43" s="209" t="s">
        <v>2133</v>
      </c>
      <c r="B43" s="248"/>
      <c r="C43" s="222"/>
      <c r="D43" s="223"/>
      <c r="E43" s="222" t="s">
        <v>2851</v>
      </c>
      <c r="F43" s="625" t="s">
        <v>3579</v>
      </c>
      <c r="G43" s="626"/>
      <c r="H43" s="225">
        <f>SUMIF('pdc2019'!$J$8:$J$1159,'CE statale pluri'!$A43,'pdc2019'!$N$8:$N$1159)</f>
        <v>62869563.25999999</v>
      </c>
      <c r="I43" s="225">
        <f>SUMIF('pdc2019'!$J$8:$J$1159,'CE statale pluri'!$A43,'pdc2019'!P$8:P$1159)</f>
        <v>65542000</v>
      </c>
      <c r="J43" s="225">
        <f>SUMIF('pdc2019'!$J$8:$J$1159,'CE statale pluri'!$A43,'pdc2019'!Q$8:Q$1159)</f>
        <v>65820000</v>
      </c>
      <c r="K43" s="225">
        <f>SUMIF('pdc2019'!$J$8:$J$1159,'CE statale pluri'!$A43,'pdc2019'!R$8:R$1159)</f>
        <v>65820000</v>
      </c>
      <c r="L43" s="225">
        <f>SUMIF('pdc2019'!$J$8:$J$1159,'CE statale pluri'!$A43,'pdc2019'!S$8:S$1159)</f>
        <v>65820000</v>
      </c>
      <c r="M43" s="226">
        <f t="shared" si="1"/>
        <v>278000</v>
      </c>
      <c r="N43" s="340">
        <f t="shared" si="2"/>
        <v>4.2415550334136886E-3</v>
      </c>
      <c r="O43" s="258"/>
    </row>
    <row r="44" spans="1:15" s="55" customFormat="1" outlineLevel="1">
      <c r="A44" s="209" t="s">
        <v>1376</v>
      </c>
      <c r="B44" s="248"/>
      <c r="C44" s="222"/>
      <c r="D44" s="223"/>
      <c r="E44" s="222" t="s">
        <v>2853</v>
      </c>
      <c r="F44" s="625" t="s">
        <v>3580</v>
      </c>
      <c r="G44" s="626"/>
      <c r="H44" s="225">
        <f>SUMIF('pdc2019'!$J$8:$J$1159,'CE statale pluri'!$A44,'pdc2019'!$N$8:$N$1159)</f>
        <v>46305529.780000001</v>
      </c>
      <c r="I44" s="225">
        <f>SUMIF('pdc2019'!$J$8:$J$1159,'CE statale pluri'!$A44,'pdc2019'!P$8:P$1159)</f>
        <v>45555000</v>
      </c>
      <c r="J44" s="225">
        <f>SUMIF('pdc2019'!$J$8:$J$1159,'CE statale pluri'!$A44,'pdc2019'!Q$8:Q$1159)</f>
        <v>45548000</v>
      </c>
      <c r="K44" s="225">
        <f>SUMIF('pdc2019'!$J$8:$J$1159,'CE statale pluri'!$A44,'pdc2019'!R$8:R$1159)</f>
        <v>46048000</v>
      </c>
      <c r="L44" s="225">
        <f>SUMIF('pdc2019'!$J$8:$J$1159,'CE statale pluri'!$A44,'pdc2019'!S$8:S$1159)</f>
        <v>46048000</v>
      </c>
      <c r="M44" s="226">
        <f t="shared" si="1"/>
        <v>493000</v>
      </c>
      <c r="N44" s="340">
        <f t="shared" si="2"/>
        <v>1.0822083196136539E-2</v>
      </c>
      <c r="O44" s="258"/>
    </row>
    <row r="45" spans="1:15" s="55" customFormat="1" outlineLevel="1">
      <c r="A45" s="209" t="s">
        <v>2604</v>
      </c>
      <c r="B45" s="248"/>
      <c r="C45" s="222"/>
      <c r="D45" s="249"/>
      <c r="E45" s="222" t="s">
        <v>3542</v>
      </c>
      <c r="F45" s="625" t="s">
        <v>3581</v>
      </c>
      <c r="G45" s="626"/>
      <c r="H45" s="225">
        <f>SUMIF('pdc2019'!$J$8:$J$1159,'CE statale pluri'!$A45,'pdc2019'!$N$8:$N$1159)</f>
        <v>12753148.77</v>
      </c>
      <c r="I45" s="225">
        <f>SUMIF('pdc2019'!$J$8:$J$1159,'CE statale pluri'!$A45,'pdc2019'!P$8:P$1159)</f>
        <v>15234000</v>
      </c>
      <c r="J45" s="225">
        <f>SUMIF('pdc2019'!$J$8:$J$1159,'CE statale pluri'!$A45,'pdc2019'!Q$8:Q$1159)</f>
        <v>17553000</v>
      </c>
      <c r="K45" s="225">
        <f>SUMIF('pdc2019'!$J$8:$J$1159,'CE statale pluri'!$A45,'pdc2019'!R$8:R$1159)</f>
        <v>17553000</v>
      </c>
      <c r="L45" s="225">
        <f>SUMIF('pdc2019'!$J$8:$J$1159,'CE statale pluri'!$A45,'pdc2019'!S$8:S$1159)</f>
        <v>17553000</v>
      </c>
      <c r="M45" s="226">
        <f t="shared" si="1"/>
        <v>2319000</v>
      </c>
      <c r="N45" s="340">
        <f t="shared" si="2"/>
        <v>0.15222528554549036</v>
      </c>
      <c r="O45" s="258"/>
    </row>
    <row r="46" spans="1:15" s="55" customFormat="1" outlineLevel="1">
      <c r="A46" s="209" t="s">
        <v>2024</v>
      </c>
      <c r="B46" s="248"/>
      <c r="C46" s="222"/>
      <c r="D46" s="249"/>
      <c r="E46" s="222" t="s">
        <v>3550</v>
      </c>
      <c r="F46" s="625" t="s">
        <v>3582</v>
      </c>
      <c r="G46" s="626"/>
      <c r="H46" s="225">
        <f>SUMIF('pdc2019'!$J$8:$J$1159,'CE statale pluri'!$A46,'pdc2019'!$N$8:$N$1159)</f>
        <v>98014.1</v>
      </c>
      <c r="I46" s="225">
        <f>SUMIF('pdc2019'!$J$8:$J$1159,'CE statale pluri'!$A46,'pdc2019'!P$8:P$1159)</f>
        <v>112000</v>
      </c>
      <c r="J46" s="225">
        <f>SUMIF('pdc2019'!$J$8:$J$1159,'CE statale pluri'!$A46,'pdc2019'!Q$8:Q$1159)</f>
        <v>112000</v>
      </c>
      <c r="K46" s="225">
        <f>SUMIF('pdc2019'!$J$8:$J$1159,'CE statale pluri'!$A46,'pdc2019'!R$8:R$1159)</f>
        <v>112000</v>
      </c>
      <c r="L46" s="225">
        <f>SUMIF('pdc2019'!$J$8:$J$1159,'CE statale pluri'!$A46,'pdc2019'!S$8:S$1159)</f>
        <v>112000</v>
      </c>
      <c r="M46" s="226">
        <f t="shared" si="1"/>
        <v>0</v>
      </c>
      <c r="N46" s="340">
        <f t="shared" si="2"/>
        <v>0</v>
      </c>
      <c r="O46" s="258"/>
    </row>
    <row r="47" spans="1:15" s="55" customFormat="1" outlineLevel="1">
      <c r="A47" s="209" t="s">
        <v>2074</v>
      </c>
      <c r="B47" s="248"/>
      <c r="C47" s="222"/>
      <c r="D47" s="249"/>
      <c r="E47" s="222" t="s">
        <v>3583</v>
      </c>
      <c r="F47" s="625" t="s">
        <v>3584</v>
      </c>
      <c r="G47" s="626"/>
      <c r="H47" s="225">
        <f>SUMIF('pdc2019'!$J$8:$J$1159,'CE statale pluri'!$A47,'pdc2019'!$N$8:$N$1159)</f>
        <v>27666808.720000003</v>
      </c>
      <c r="I47" s="225">
        <f>SUMIF('pdc2019'!$J$8:$J$1159,'CE statale pluri'!$A47,'pdc2019'!P$8:P$1159)</f>
        <v>28018000</v>
      </c>
      <c r="J47" s="225">
        <f>SUMIF('pdc2019'!$J$8:$J$1159,'CE statale pluri'!$A47,'pdc2019'!Q$8:Q$1159)</f>
        <v>28559000</v>
      </c>
      <c r="K47" s="225">
        <f>SUMIF('pdc2019'!$J$8:$J$1159,'CE statale pluri'!$A47,'pdc2019'!R$8:R$1159)</f>
        <v>28614000</v>
      </c>
      <c r="L47" s="225">
        <f>SUMIF('pdc2019'!$J$8:$J$1159,'CE statale pluri'!$A47,'pdc2019'!S$8:S$1159)</f>
        <v>28669000</v>
      </c>
      <c r="M47" s="226">
        <f t="shared" si="1"/>
        <v>651000</v>
      </c>
      <c r="N47" s="340">
        <f t="shared" si="2"/>
        <v>2.3235063173674065E-2</v>
      </c>
      <c r="O47" s="258"/>
    </row>
    <row r="48" spans="1:15" s="55" customFormat="1" outlineLevel="1">
      <c r="A48" s="209" t="s">
        <v>1951</v>
      </c>
      <c r="B48" s="248"/>
      <c r="C48" s="222"/>
      <c r="D48" s="249"/>
      <c r="E48" s="222" t="s">
        <v>3585</v>
      </c>
      <c r="F48" s="625" t="s">
        <v>3586</v>
      </c>
      <c r="G48" s="626"/>
      <c r="H48" s="225">
        <f>SUMIF('pdc2019'!$J$8:$J$1159,'CE statale pluri'!$A48,'pdc2019'!$N$8:$N$1159)</f>
        <v>6737383.9000000004</v>
      </c>
      <c r="I48" s="225">
        <f>SUMIF('pdc2019'!$J$8:$J$1159,'CE statale pluri'!$A48,'pdc2019'!P$8:P$1159)</f>
        <v>7431000</v>
      </c>
      <c r="J48" s="225">
        <f>SUMIF('pdc2019'!$J$8:$J$1159,'CE statale pluri'!$A48,'pdc2019'!Q$8:Q$1159)</f>
        <v>7786000</v>
      </c>
      <c r="K48" s="225">
        <f>SUMIF('pdc2019'!$J$8:$J$1159,'CE statale pluri'!$A48,'pdc2019'!R$8:R$1159)</f>
        <v>8157000</v>
      </c>
      <c r="L48" s="225">
        <f>SUMIF('pdc2019'!$J$8:$J$1159,'CE statale pluri'!$A48,'pdc2019'!S$8:S$1159)</f>
        <v>8546000</v>
      </c>
      <c r="M48" s="226">
        <f t="shared" si="1"/>
        <v>1115000</v>
      </c>
      <c r="N48" s="340">
        <f t="shared" si="2"/>
        <v>0.15004709998654286</v>
      </c>
      <c r="O48" s="258"/>
    </row>
    <row r="49" spans="1:15" s="55" customFormat="1" outlineLevel="1">
      <c r="A49" s="209" t="s">
        <v>1921</v>
      </c>
      <c r="B49" s="248"/>
      <c r="C49" s="222"/>
      <c r="D49" s="249"/>
      <c r="E49" s="222" t="s">
        <v>3587</v>
      </c>
      <c r="F49" s="625" t="s">
        <v>3588</v>
      </c>
      <c r="G49" s="626"/>
      <c r="H49" s="225">
        <f>SUMIF('pdc2019'!$J$8:$J$1159,'CE statale pluri'!$A49,'pdc2019'!$N$8:$N$1159)</f>
        <v>45779234.760000005</v>
      </c>
      <c r="I49" s="225">
        <f>SUMIF('pdc2019'!$J$8:$J$1159,'CE statale pluri'!$A49,'pdc2019'!P$8:P$1159)</f>
        <v>48473000</v>
      </c>
      <c r="J49" s="225">
        <f>SUMIF('pdc2019'!$J$8:$J$1159,'CE statale pluri'!$A49,'pdc2019'!Q$8:Q$1159)</f>
        <v>49974000</v>
      </c>
      <c r="K49" s="225">
        <f>SUMIF('pdc2019'!$J$8:$J$1159,'CE statale pluri'!$A49,'pdc2019'!R$8:R$1159)</f>
        <v>49979000</v>
      </c>
      <c r="L49" s="225">
        <f>SUMIF('pdc2019'!$J$8:$J$1159,'CE statale pluri'!$A49,'pdc2019'!S$8:S$1159)</f>
        <v>49984000</v>
      </c>
      <c r="M49" s="226">
        <f t="shared" si="1"/>
        <v>1511000</v>
      </c>
      <c r="N49" s="340">
        <f t="shared" si="2"/>
        <v>3.1171992655705239E-2</v>
      </c>
      <c r="O49" s="258"/>
    </row>
    <row r="50" spans="1:15" s="55" customFormat="1" outlineLevel="1">
      <c r="A50" s="209" t="s">
        <v>2003</v>
      </c>
      <c r="B50" s="248"/>
      <c r="C50" s="222"/>
      <c r="D50" s="249"/>
      <c r="E50" s="222" t="s">
        <v>3589</v>
      </c>
      <c r="F50" s="625" t="s">
        <v>3590</v>
      </c>
      <c r="G50" s="626"/>
      <c r="H50" s="225">
        <f>SUMIF('pdc2019'!$J$8:$J$1159,'CE statale pluri'!$A50,'pdc2019'!$N$8:$N$1159)</f>
        <v>10052103.300000001</v>
      </c>
      <c r="I50" s="225">
        <f>SUMIF('pdc2019'!$J$8:$J$1159,'CE statale pluri'!$A50,'pdc2019'!P$8:P$1159)</f>
        <v>10171000</v>
      </c>
      <c r="J50" s="225">
        <f>SUMIF('pdc2019'!$J$8:$J$1159,'CE statale pluri'!$A50,'pdc2019'!Q$8:Q$1159)</f>
        <v>10171000</v>
      </c>
      <c r="K50" s="225">
        <f>SUMIF('pdc2019'!$J$8:$J$1159,'CE statale pluri'!$A50,'pdc2019'!R$8:R$1159)</f>
        <v>10171000</v>
      </c>
      <c r="L50" s="225">
        <f>SUMIF('pdc2019'!$J$8:$J$1159,'CE statale pluri'!$A50,'pdc2019'!S$8:S$1159)</f>
        <v>10171000</v>
      </c>
      <c r="M50" s="226">
        <f t="shared" si="1"/>
        <v>0</v>
      </c>
      <c r="N50" s="340">
        <f t="shared" si="2"/>
        <v>0</v>
      </c>
      <c r="O50" s="258"/>
    </row>
    <row r="51" spans="1:15" s="55" customFormat="1" outlineLevel="1">
      <c r="A51" s="209" t="s">
        <v>1395</v>
      </c>
      <c r="B51" s="248"/>
      <c r="C51" s="222"/>
      <c r="D51" s="249"/>
      <c r="E51" s="222" t="s">
        <v>3591</v>
      </c>
      <c r="F51" s="625" t="s">
        <v>3592</v>
      </c>
      <c r="G51" s="626"/>
      <c r="H51" s="225">
        <f>SUMIF('pdc2019'!$J$8:$J$1159,'CE statale pluri'!$A51,'pdc2019'!$N$8:$N$1159)</f>
        <v>2635819.73</v>
      </c>
      <c r="I51" s="225">
        <f>SUMIF('pdc2019'!$J$8:$J$1159,'CE statale pluri'!$A51,'pdc2019'!P$8:P$1159)</f>
        <v>3047000</v>
      </c>
      <c r="J51" s="225">
        <f>SUMIF('pdc2019'!$J$8:$J$1159,'CE statale pluri'!$A51,'pdc2019'!Q$8:Q$1159)</f>
        <v>2817000</v>
      </c>
      <c r="K51" s="225">
        <f>SUMIF('pdc2019'!$J$8:$J$1159,'CE statale pluri'!$A51,'pdc2019'!R$8:R$1159)</f>
        <v>2864000</v>
      </c>
      <c r="L51" s="225">
        <f>SUMIF('pdc2019'!$J$8:$J$1159,'CE statale pluri'!$A51,'pdc2019'!S$8:S$1159)</f>
        <v>2912000</v>
      </c>
      <c r="M51" s="226">
        <f t="shared" si="1"/>
        <v>-135000</v>
      </c>
      <c r="N51" s="340">
        <f t="shared" si="2"/>
        <v>-4.4305874630784378E-2</v>
      </c>
      <c r="O51" s="258"/>
    </row>
    <row r="52" spans="1:15" s="55" customFormat="1" outlineLevel="1">
      <c r="A52" s="209" t="s">
        <v>3593</v>
      </c>
      <c r="B52" s="248"/>
      <c r="C52" s="222"/>
      <c r="D52" s="249"/>
      <c r="E52" s="222" t="s">
        <v>3594</v>
      </c>
      <c r="F52" s="625" t="s">
        <v>3595</v>
      </c>
      <c r="G52" s="626"/>
      <c r="H52" s="225">
        <f>SUMIF('pdc2019'!$J$8:$J$1159,'CE statale pluri'!$A52,'pdc2019'!$N$8:$N$1159)</f>
        <v>666963.43999999994</v>
      </c>
      <c r="I52" s="225">
        <f>SUMIF('pdc2019'!$J$8:$J$1159,'CE statale pluri'!$A52,'pdc2019'!P$8:P$1159)</f>
        <v>707000</v>
      </c>
      <c r="J52" s="225">
        <f>SUMIF('pdc2019'!$J$8:$J$1159,'CE statale pluri'!$A52,'pdc2019'!Q$8:Q$1159)</f>
        <v>532000</v>
      </c>
      <c r="K52" s="225">
        <f>SUMIF('pdc2019'!$J$8:$J$1159,'CE statale pluri'!$A52,'pdc2019'!R$8:R$1159)</f>
        <v>532000</v>
      </c>
      <c r="L52" s="225">
        <f>SUMIF('pdc2019'!$J$8:$J$1159,'CE statale pluri'!$A52,'pdc2019'!S$8:S$1159)</f>
        <v>532000</v>
      </c>
      <c r="M52" s="226">
        <f t="shared" si="1"/>
        <v>-175000</v>
      </c>
      <c r="N52" s="340">
        <f t="shared" si="2"/>
        <v>-0.24752475247524752</v>
      </c>
      <c r="O52" s="258"/>
    </row>
    <row r="53" spans="1:15" s="55" customFormat="1" outlineLevel="1">
      <c r="A53" s="209" t="s">
        <v>3596</v>
      </c>
      <c r="B53" s="248"/>
      <c r="C53" s="222"/>
      <c r="D53" s="249"/>
      <c r="E53" s="222" t="s">
        <v>3597</v>
      </c>
      <c r="F53" s="625" t="s">
        <v>3598</v>
      </c>
      <c r="G53" s="626"/>
      <c r="H53" s="225">
        <f>SUMIF('pdc2019'!$J$8:$J$1159,'CE statale pluri'!$A53,'pdc2019'!$N$8:$N$1159)</f>
        <v>31408484.32</v>
      </c>
      <c r="I53" s="225">
        <f>SUMIF('pdc2019'!$J$8:$J$1159,'CE statale pluri'!$A53,'pdc2019'!P$8:P$1159)</f>
        <v>32175000</v>
      </c>
      <c r="J53" s="225">
        <f>SUMIF('pdc2019'!$J$8:$J$1159,'CE statale pluri'!$A53,'pdc2019'!Q$8:Q$1159)</f>
        <v>33093000</v>
      </c>
      <c r="K53" s="225">
        <f>SUMIF('pdc2019'!$J$8:$J$1159,'CE statale pluri'!$A53,'pdc2019'!R$8:R$1159)</f>
        <v>33740000</v>
      </c>
      <c r="L53" s="225">
        <f>SUMIF('pdc2019'!$J$8:$J$1159,'CE statale pluri'!$A53,'pdc2019'!S$8:S$1159)</f>
        <v>34400000</v>
      </c>
      <c r="M53" s="226">
        <f t="shared" si="1"/>
        <v>2225000</v>
      </c>
      <c r="N53" s="340">
        <f t="shared" si="2"/>
        <v>6.9153069153069152E-2</v>
      </c>
      <c r="O53" s="258"/>
    </row>
    <row r="54" spans="1:15" s="55" customFormat="1" outlineLevel="1">
      <c r="A54" s="209" t="s">
        <v>3599</v>
      </c>
      <c r="B54" s="248"/>
      <c r="C54" s="222"/>
      <c r="D54" s="249"/>
      <c r="E54" s="222" t="s">
        <v>3600</v>
      </c>
      <c r="F54" s="625" t="s">
        <v>3601</v>
      </c>
      <c r="G54" s="626"/>
      <c r="H54" s="225">
        <f>SUMIF('pdc2019'!$J$8:$J$1159,'CE statale pluri'!$A54,'pdc2019'!$N$8:$N$1159)</f>
        <v>50382651.090000018</v>
      </c>
      <c r="I54" s="225">
        <f>SUMIF('pdc2019'!$J$8:$J$1159,'CE statale pluri'!$A54,'pdc2019'!P$8:P$1159)</f>
        <v>52498000</v>
      </c>
      <c r="J54" s="225">
        <f>SUMIF('pdc2019'!$J$8:$J$1159,'CE statale pluri'!$A54,'pdc2019'!Q$8:Q$1159)</f>
        <v>53623000</v>
      </c>
      <c r="K54" s="225">
        <f>SUMIF('pdc2019'!$J$8:$J$1159,'CE statale pluri'!$A54,'pdc2019'!R$8:R$1159)</f>
        <v>54462000</v>
      </c>
      <c r="L54" s="225">
        <f>SUMIF('pdc2019'!$J$8:$J$1159,'CE statale pluri'!$A54,'pdc2019'!S$8:S$1159)</f>
        <v>55192000</v>
      </c>
      <c r="M54" s="226">
        <f t="shared" si="1"/>
        <v>2694000</v>
      </c>
      <c r="N54" s="340">
        <f t="shared" si="2"/>
        <v>5.1316240618690237E-2</v>
      </c>
      <c r="O54" s="258"/>
    </row>
    <row r="55" spans="1:15" s="55" customFormat="1" outlineLevel="1">
      <c r="A55" s="209" t="s">
        <v>3602</v>
      </c>
      <c r="B55" s="248"/>
      <c r="C55" s="222"/>
      <c r="D55" s="249"/>
      <c r="E55" s="222" t="s">
        <v>3603</v>
      </c>
      <c r="F55" s="625" t="s">
        <v>2351</v>
      </c>
      <c r="G55" s="626"/>
      <c r="H55" s="225">
        <f>SUMIF('pdc2019'!$J$8:$J$1159,'CE statale pluri'!$A55,'pdc2019'!$N$8:$N$1159)</f>
        <v>2012204.97</v>
      </c>
      <c r="I55" s="225">
        <f>SUMIF('pdc2019'!$J$8:$J$1159,'CE statale pluri'!$A55,'pdc2019'!P$8:P$1159)</f>
        <v>2532000</v>
      </c>
      <c r="J55" s="225">
        <f>SUMIF('pdc2019'!$J$8:$J$1159,'CE statale pluri'!$A55,'pdc2019'!Q$8:Q$1159)</f>
        <v>2532000</v>
      </c>
      <c r="K55" s="225">
        <f>SUMIF('pdc2019'!$J$8:$J$1159,'CE statale pluri'!$A55,'pdc2019'!R$8:R$1159)</f>
        <v>2534000</v>
      </c>
      <c r="L55" s="225">
        <f>SUMIF('pdc2019'!$J$8:$J$1159,'CE statale pluri'!$A55,'pdc2019'!S$8:S$1159)</f>
        <v>2537000</v>
      </c>
      <c r="M55" s="226">
        <f t="shared" si="1"/>
        <v>5000</v>
      </c>
      <c r="N55" s="340">
        <f t="shared" si="2"/>
        <v>1.9747235387045812E-3</v>
      </c>
      <c r="O55" s="258"/>
    </row>
    <row r="56" spans="1:15" s="55" customFormat="1" outlineLevel="1">
      <c r="A56" s="209" t="s">
        <v>3604</v>
      </c>
      <c r="B56" s="248"/>
      <c r="C56" s="222"/>
      <c r="D56" s="249"/>
      <c r="E56" s="222" t="s">
        <v>3605</v>
      </c>
      <c r="F56" s="625" t="s">
        <v>3606</v>
      </c>
      <c r="G56" s="626"/>
      <c r="H56" s="225">
        <f>SUMIF('pdc2019'!$J$8:$J$1159,'CE statale pluri'!$A56,'pdc2019'!$N$8:$N$1159)</f>
        <v>5723289.1100000003</v>
      </c>
      <c r="I56" s="225">
        <f>SUMIF('pdc2019'!$J$8:$J$1159,'CE statale pluri'!$A56,'pdc2019'!P$8:P$1159)</f>
        <v>5908000</v>
      </c>
      <c r="J56" s="225">
        <f>SUMIF('pdc2019'!$J$8:$J$1159,'CE statale pluri'!$A56,'pdc2019'!Q$8:Q$1159)</f>
        <v>5903000</v>
      </c>
      <c r="K56" s="225">
        <f>SUMIF('pdc2019'!$J$8:$J$1159,'CE statale pluri'!$A56,'pdc2019'!R$8:R$1159)</f>
        <v>5906000</v>
      </c>
      <c r="L56" s="225">
        <f>SUMIF('pdc2019'!$J$8:$J$1159,'CE statale pluri'!$A56,'pdc2019'!S$8:S$1159)</f>
        <v>5908000</v>
      </c>
      <c r="M56" s="226">
        <f t="shared" si="1"/>
        <v>0</v>
      </c>
      <c r="N56" s="340">
        <f t="shared" si="2"/>
        <v>0</v>
      </c>
      <c r="O56" s="258"/>
    </row>
    <row r="57" spans="1:15" s="55" customFormat="1" ht="30" customHeight="1" outlineLevel="1">
      <c r="A57" s="209" t="s">
        <v>3607</v>
      </c>
      <c r="B57" s="248"/>
      <c r="C57" s="250"/>
      <c r="D57" s="251"/>
      <c r="E57" s="222" t="s">
        <v>3608</v>
      </c>
      <c r="F57" s="625" t="s">
        <v>2868</v>
      </c>
      <c r="G57" s="626"/>
      <c r="H57" s="225">
        <f>SUMIF('pdc2019'!$J$8:$J$1159,'CE statale pluri'!$A57,'pdc2019'!$N$8:$N$1159)</f>
        <v>2748896.5899999994</v>
      </c>
      <c r="I57" s="225">
        <f>SUMIF('pdc2019'!$J$8:$J$1159,'CE statale pluri'!$A57,'pdc2019'!P$8:P$1159)</f>
        <v>2412000</v>
      </c>
      <c r="J57" s="225">
        <f>SUMIF('pdc2019'!$J$8:$J$1159,'CE statale pluri'!$A57,'pdc2019'!Q$8:Q$1159)</f>
        <v>2451000</v>
      </c>
      <c r="K57" s="225">
        <f>SUMIF('pdc2019'!$J$8:$J$1159,'CE statale pluri'!$A57,'pdc2019'!R$8:R$1159)</f>
        <v>2491000</v>
      </c>
      <c r="L57" s="225">
        <f>SUMIF('pdc2019'!$J$8:$J$1159,'CE statale pluri'!$A57,'pdc2019'!S$8:S$1159)</f>
        <v>2532000</v>
      </c>
      <c r="M57" s="226">
        <f t="shared" si="1"/>
        <v>120000</v>
      </c>
      <c r="N57" s="340">
        <f t="shared" si="2"/>
        <v>4.975124378109453E-2</v>
      </c>
      <c r="O57" s="258"/>
    </row>
    <row r="58" spans="1:15" s="55" customFormat="1" outlineLevel="1">
      <c r="A58" s="209" t="s">
        <v>2869</v>
      </c>
      <c r="B58" s="248"/>
      <c r="C58" s="250"/>
      <c r="D58" s="251"/>
      <c r="E58" s="222" t="s">
        <v>2870</v>
      </c>
      <c r="F58" s="625" t="s">
        <v>2871</v>
      </c>
      <c r="G58" s="626"/>
      <c r="H58" s="225">
        <f>SUMIF('pdc2019'!$J$8:$J$1159,'CE statale pluri'!$A58,'pdc2019'!$N$8:$N$1159)</f>
        <v>28932344.870000001</v>
      </c>
      <c r="I58" s="225">
        <f>SUMIF('pdc2019'!$J$8:$J$1159,'CE statale pluri'!$A58,'pdc2019'!P$8:P$1159)</f>
        <v>26455000</v>
      </c>
      <c r="J58" s="225">
        <f>SUMIF('pdc2019'!$J$8:$J$1159,'CE statale pluri'!$A58,'pdc2019'!Q$8:Q$1159)</f>
        <v>30532000</v>
      </c>
      <c r="K58" s="225">
        <f>SUMIF('pdc2019'!$J$8:$J$1159,'CE statale pluri'!$A58,'pdc2019'!R$8:R$1159)</f>
        <v>30551000</v>
      </c>
      <c r="L58" s="225">
        <f>SUMIF('pdc2019'!$J$8:$J$1159,'CE statale pluri'!$A58,'pdc2019'!S$8:S$1159)</f>
        <v>30570000</v>
      </c>
      <c r="M58" s="226">
        <f t="shared" si="1"/>
        <v>4115000</v>
      </c>
      <c r="N58" s="340">
        <f t="shared" si="2"/>
        <v>0.15554715554715554</v>
      </c>
      <c r="O58" s="258"/>
    </row>
    <row r="59" spans="1:15" s="55" customFormat="1" outlineLevel="1">
      <c r="A59" s="209" t="s">
        <v>2872</v>
      </c>
      <c r="B59" s="248"/>
      <c r="C59" s="250"/>
      <c r="D59" s="251"/>
      <c r="E59" s="222" t="s">
        <v>2873</v>
      </c>
      <c r="F59" s="625" t="s">
        <v>2874</v>
      </c>
      <c r="G59" s="626"/>
      <c r="H59" s="225">
        <f>SUMIF('pdc2019'!$J$8:$J$1159,'CE statale pluri'!$A59,'pdc2019'!$N$8:$N$1159)</f>
        <v>0</v>
      </c>
      <c r="I59" s="225">
        <f>SUMIF('pdc2019'!$J$8:$J$1159,'CE statale pluri'!$A59,'pdc2019'!P$8:P$1159)</f>
        <v>0</v>
      </c>
      <c r="J59" s="225">
        <f>SUMIF('pdc2019'!$J$8:$J$1159,'CE statale pluri'!$A59,'pdc2019'!Q$8:Q$1159)</f>
        <v>0</v>
      </c>
      <c r="K59" s="225">
        <f>SUMIF('pdc2019'!$J$8:$J$1159,'CE statale pluri'!$A59,'pdc2019'!R$8:R$1159)</f>
        <v>0</v>
      </c>
      <c r="L59" s="225">
        <f>SUMIF('pdc2019'!$J$8:$J$1159,'CE statale pluri'!$A59,'pdc2019'!S$8:S$1159)</f>
        <v>0</v>
      </c>
      <c r="M59" s="226">
        <f t="shared" si="1"/>
        <v>0</v>
      </c>
      <c r="N59" s="340" t="str">
        <f t="shared" si="2"/>
        <v xml:space="preserve">-    </v>
      </c>
      <c r="O59" s="258"/>
    </row>
    <row r="60" spans="1:15" s="55" customFormat="1">
      <c r="A60" s="209"/>
      <c r="B60" s="248"/>
      <c r="C60" s="216" t="s">
        <v>2861</v>
      </c>
      <c r="D60" s="628" t="s">
        <v>2875</v>
      </c>
      <c r="E60" s="628"/>
      <c r="F60" s="628"/>
      <c r="G60" s="629"/>
      <c r="H60" s="217">
        <f>SUM(H61:H63)</f>
        <v>64452956.669999987</v>
      </c>
      <c r="I60" s="217">
        <f>SUM(I61:I63)</f>
        <v>67175000</v>
      </c>
      <c r="J60" s="217">
        <f t="shared" ref="J60:L60" si="9">SUM(J61:J63)</f>
        <v>69865500</v>
      </c>
      <c r="K60" s="217">
        <f t="shared" si="9"/>
        <v>71858500</v>
      </c>
      <c r="L60" s="217">
        <f t="shared" si="9"/>
        <v>72815500</v>
      </c>
      <c r="M60" s="218">
        <f t="shared" si="1"/>
        <v>5640500</v>
      </c>
      <c r="N60" s="339">
        <f t="shared" si="2"/>
        <v>8.3967249720878309E-2</v>
      </c>
      <c r="O60" s="258"/>
    </row>
    <row r="61" spans="1:15" s="55" customFormat="1" outlineLevel="1">
      <c r="A61" s="209" t="s">
        <v>2876</v>
      </c>
      <c r="B61" s="248"/>
      <c r="C61" s="216"/>
      <c r="D61" s="252"/>
      <c r="E61" s="222" t="s">
        <v>2851</v>
      </c>
      <c r="F61" s="625" t="s">
        <v>2877</v>
      </c>
      <c r="G61" s="626"/>
      <c r="H61" s="225">
        <f>SUMIF('pdc2019'!$J$8:$J$1159,'CE statale pluri'!$A61,'pdc2019'!$N$8:$N$1159)</f>
        <v>60874003.819999993</v>
      </c>
      <c r="I61" s="225">
        <f>SUMIF('pdc2019'!$J$8:$J$1159,'CE statale pluri'!$A61,'pdc2019'!P$8:P$1159)</f>
        <v>63535000</v>
      </c>
      <c r="J61" s="225">
        <f>SUMIF('pdc2019'!$J$8:$J$1159,'CE statale pluri'!$A61,'pdc2019'!Q$8:Q$1159)</f>
        <v>66205500</v>
      </c>
      <c r="K61" s="225">
        <f>SUMIF('pdc2019'!$J$8:$J$1159,'CE statale pluri'!$A61,'pdc2019'!R$8:R$1159)</f>
        <v>68198500</v>
      </c>
      <c r="L61" s="225">
        <f>SUMIF('pdc2019'!$J$8:$J$1159,'CE statale pluri'!$A61,'pdc2019'!S$8:S$1159)</f>
        <v>69155500</v>
      </c>
      <c r="M61" s="226">
        <f t="shared" si="1"/>
        <v>5620500</v>
      </c>
      <c r="N61" s="340">
        <f t="shared" si="2"/>
        <v>8.8463051861178879E-2</v>
      </c>
      <c r="O61" s="258"/>
    </row>
    <row r="62" spans="1:15" s="55" customFormat="1" ht="30" customHeight="1" outlineLevel="1">
      <c r="A62" s="209" t="s">
        <v>2878</v>
      </c>
      <c r="B62" s="248"/>
      <c r="C62" s="253"/>
      <c r="D62" s="222"/>
      <c r="E62" s="222" t="s">
        <v>2853</v>
      </c>
      <c r="F62" s="625" t="s">
        <v>2879</v>
      </c>
      <c r="G62" s="626"/>
      <c r="H62" s="225">
        <f>SUMIF('pdc2019'!$J$8:$J$1159,'CE statale pluri'!$A62,'pdc2019'!$N$8:$N$1159)</f>
        <v>239480.94</v>
      </c>
      <c r="I62" s="225">
        <f>SUMIF('pdc2019'!$J$8:$J$1159,'CE statale pluri'!$A62,'pdc2019'!P$8:P$1159)</f>
        <v>301000</v>
      </c>
      <c r="J62" s="225">
        <f>SUMIF('pdc2019'!$J$8:$J$1159,'CE statale pluri'!$A62,'pdc2019'!Q$8:Q$1159)</f>
        <v>321000</v>
      </c>
      <c r="K62" s="225">
        <f>SUMIF('pdc2019'!$J$8:$J$1159,'CE statale pluri'!$A62,'pdc2019'!R$8:R$1159)</f>
        <v>321000</v>
      </c>
      <c r="L62" s="225">
        <f>SUMIF('pdc2019'!$J$8:$J$1159,'CE statale pluri'!$A62,'pdc2019'!S$8:S$1159)</f>
        <v>321000</v>
      </c>
      <c r="M62" s="226">
        <f t="shared" si="1"/>
        <v>20000</v>
      </c>
      <c r="N62" s="340">
        <f t="shared" si="2"/>
        <v>6.6445182724252497E-2</v>
      </c>
      <c r="O62" s="258"/>
    </row>
    <row r="63" spans="1:15" s="55" customFormat="1" outlineLevel="1">
      <c r="A63" s="209" t="s">
        <v>2880</v>
      </c>
      <c r="B63" s="248"/>
      <c r="C63" s="253"/>
      <c r="D63" s="222"/>
      <c r="E63" s="222" t="s">
        <v>3542</v>
      </c>
      <c r="F63" s="625" t="s">
        <v>2881</v>
      </c>
      <c r="G63" s="626"/>
      <c r="H63" s="225">
        <f>SUMIF('pdc2019'!$J$8:$J$1159,'CE statale pluri'!$A63,'pdc2019'!$N$8:$N$1159)</f>
        <v>3339471.91</v>
      </c>
      <c r="I63" s="225">
        <f>SUMIF('pdc2019'!$J$8:$J$1159,'CE statale pluri'!$A63,'pdc2019'!P$8:P$1159)</f>
        <v>3339000</v>
      </c>
      <c r="J63" s="225">
        <f>SUMIF('pdc2019'!$J$8:$J$1159,'CE statale pluri'!$A63,'pdc2019'!Q$8:Q$1159)</f>
        <v>3339000</v>
      </c>
      <c r="K63" s="225">
        <f>SUMIF('pdc2019'!$J$8:$J$1159,'CE statale pluri'!$A63,'pdc2019'!R$8:R$1159)</f>
        <v>3339000</v>
      </c>
      <c r="L63" s="225">
        <f>SUMIF('pdc2019'!$J$8:$J$1159,'CE statale pluri'!$A63,'pdc2019'!S$8:S$1159)</f>
        <v>3339000</v>
      </c>
      <c r="M63" s="226">
        <f t="shared" si="1"/>
        <v>0</v>
      </c>
      <c r="N63" s="340">
        <f t="shared" si="2"/>
        <v>0</v>
      </c>
      <c r="O63" s="258"/>
    </row>
    <row r="64" spans="1:15" s="55" customFormat="1">
      <c r="A64" s="209" t="s">
        <v>2882</v>
      </c>
      <c r="B64" s="248"/>
      <c r="C64" s="216" t="s">
        <v>2864</v>
      </c>
      <c r="D64" s="628" t="s">
        <v>2883</v>
      </c>
      <c r="E64" s="628"/>
      <c r="F64" s="628"/>
      <c r="G64" s="629"/>
      <c r="H64" s="217">
        <f>SUMIF('pdc2019'!$J$8:$J$1159,'CE statale pluri'!$A64,'pdc2019'!$N$8:$N$1159)</f>
        <v>22081182.43</v>
      </c>
      <c r="I64" s="217">
        <f>SUMIF('pdc2019'!$J$8:$J$1159,'CE statale pluri'!$A64,'pdc2019'!P$8:P$1159)</f>
        <v>23450000</v>
      </c>
      <c r="J64" s="217">
        <f>SUMIF('pdc2019'!$J$8:$J$1159,'CE statale pluri'!$A64,'pdc2019'!Q$8:Q$1159)</f>
        <v>24576000</v>
      </c>
      <c r="K64" s="217">
        <f>SUMIF('pdc2019'!$J$8:$J$1159,'CE statale pluri'!$A64,'pdc2019'!R$8:R$1159)</f>
        <v>26189000</v>
      </c>
      <c r="L64" s="217">
        <f>SUMIF('pdc2019'!$J$8:$J$1159,'CE statale pluri'!$A64,'pdc2019'!S$8:S$1159)</f>
        <v>27493000</v>
      </c>
      <c r="M64" s="218">
        <f t="shared" si="1"/>
        <v>4043000</v>
      </c>
      <c r="N64" s="339">
        <f t="shared" si="2"/>
        <v>0.17240938166311301</v>
      </c>
      <c r="O64" s="258"/>
    </row>
    <row r="65" spans="1:15" s="79" customFormat="1">
      <c r="A65" s="209" t="s">
        <v>2715</v>
      </c>
      <c r="B65" s="248"/>
      <c r="C65" s="216" t="s">
        <v>3537</v>
      </c>
      <c r="D65" s="628" t="s">
        <v>1474</v>
      </c>
      <c r="E65" s="628"/>
      <c r="F65" s="628"/>
      <c r="G65" s="629"/>
      <c r="H65" s="217">
        <f>SUMIF('pdc2019'!$J$8:$J$1159,'CE statale pluri'!$A65,'pdc2019'!$N$8:$N$1159)</f>
        <v>9338326.1600000001</v>
      </c>
      <c r="I65" s="217">
        <f>SUMIF('pdc2019'!$J$8:$J$1159,'CE statale pluri'!$A65,'pdc2019'!P$8:P$1159)</f>
        <v>9144000</v>
      </c>
      <c r="J65" s="217">
        <f>SUMIF('pdc2019'!$J$8:$J$1159,'CE statale pluri'!$A65,'pdc2019'!Q$8:Q$1159)</f>
        <v>10024000</v>
      </c>
      <c r="K65" s="217">
        <f>SUMIF('pdc2019'!$J$8:$J$1159,'CE statale pluri'!$A65,'pdc2019'!R$8:R$1159)</f>
        <v>9963000</v>
      </c>
      <c r="L65" s="217">
        <f>SUMIF('pdc2019'!$J$8:$J$1159,'CE statale pluri'!$A65,'pdc2019'!S$8:S$1159)</f>
        <v>10115000</v>
      </c>
      <c r="M65" s="218">
        <f t="shared" si="1"/>
        <v>971000</v>
      </c>
      <c r="N65" s="339">
        <f t="shared" si="2"/>
        <v>0.10618985126859143</v>
      </c>
      <c r="O65" s="265"/>
    </row>
    <row r="66" spans="1:15" s="79" customFormat="1">
      <c r="A66" s="209"/>
      <c r="B66" s="248"/>
      <c r="C66" s="216" t="s">
        <v>3540</v>
      </c>
      <c r="D66" s="628" t="s">
        <v>1476</v>
      </c>
      <c r="E66" s="628"/>
      <c r="F66" s="628"/>
      <c r="G66" s="629"/>
      <c r="H66" s="217">
        <f>SUM(H67:H71)</f>
        <v>619511404.56999993</v>
      </c>
      <c r="I66" s="217">
        <f>SUM(I67:I71)</f>
        <v>627600000</v>
      </c>
      <c r="J66" s="217">
        <f t="shared" ref="J66:L66" si="10">SUM(J67:J71)</f>
        <v>638988000</v>
      </c>
      <c r="K66" s="217">
        <f t="shared" si="10"/>
        <v>655321000</v>
      </c>
      <c r="L66" s="217">
        <f t="shared" si="10"/>
        <v>667712000</v>
      </c>
      <c r="M66" s="218">
        <f t="shared" si="1"/>
        <v>40112000</v>
      </c>
      <c r="N66" s="339">
        <f t="shared" si="2"/>
        <v>6.3913320586360733E-2</v>
      </c>
      <c r="O66" s="265"/>
    </row>
    <row r="67" spans="1:15" s="55" customFormat="1" outlineLevel="1">
      <c r="A67" s="209" t="s">
        <v>1008</v>
      </c>
      <c r="B67" s="248"/>
      <c r="C67" s="222"/>
      <c r="D67" s="254"/>
      <c r="E67" s="222" t="s">
        <v>2851</v>
      </c>
      <c r="F67" s="625" t="s">
        <v>2884</v>
      </c>
      <c r="G67" s="626"/>
      <c r="H67" s="225">
        <f>SUMIF('pdc2019'!$J$8:$J$1159,'CE statale pluri'!$A67,'pdc2019'!$N$8:$N$1159)</f>
        <v>213860302.35000002</v>
      </c>
      <c r="I67" s="225">
        <f>SUMIF('pdc2019'!$J$8:$J$1159,'CE statale pluri'!$A67,'pdc2019'!P$8:P$1159)</f>
        <v>219904000</v>
      </c>
      <c r="J67" s="225">
        <f>SUMIF('pdc2019'!$J$8:$J$1159,'CE statale pluri'!$A67,'pdc2019'!Q$8:Q$1159)</f>
        <v>223621000</v>
      </c>
      <c r="K67" s="225">
        <f>SUMIF('pdc2019'!$J$8:$J$1159,'CE statale pluri'!$A67,'pdc2019'!R$8:R$1159)</f>
        <v>233164000</v>
      </c>
      <c r="L67" s="225">
        <f>SUMIF('pdc2019'!$J$8:$J$1159,'CE statale pluri'!$A67,'pdc2019'!S$8:S$1159)</f>
        <v>241142000</v>
      </c>
      <c r="M67" s="226">
        <f t="shared" si="1"/>
        <v>21238000</v>
      </c>
      <c r="N67" s="340">
        <f t="shared" si="2"/>
        <v>9.6578506984866128E-2</v>
      </c>
      <c r="O67" s="258"/>
    </row>
    <row r="68" spans="1:15" s="55" customFormat="1" outlineLevel="1">
      <c r="A68" s="209" t="s">
        <v>1031</v>
      </c>
      <c r="B68" s="248"/>
      <c r="C68" s="222"/>
      <c r="D68" s="254"/>
      <c r="E68" s="222" t="s">
        <v>2853</v>
      </c>
      <c r="F68" s="625" t="s">
        <v>2885</v>
      </c>
      <c r="G68" s="626"/>
      <c r="H68" s="225">
        <f>SUMIF('pdc2019'!$J$8:$J$1159,'CE statale pluri'!$A68,'pdc2019'!$N$8:$N$1159)</f>
        <v>29554009.040000003</v>
      </c>
      <c r="I68" s="225">
        <f>SUMIF('pdc2019'!$J$8:$J$1159,'CE statale pluri'!$A68,'pdc2019'!P$8:P$1159)</f>
        <v>30921000</v>
      </c>
      <c r="J68" s="225">
        <f>SUMIF('pdc2019'!$J$8:$J$1159,'CE statale pluri'!$A68,'pdc2019'!Q$8:Q$1159)</f>
        <v>31580000</v>
      </c>
      <c r="K68" s="225">
        <f>SUMIF('pdc2019'!$J$8:$J$1159,'CE statale pluri'!$A68,'pdc2019'!R$8:R$1159)</f>
        <v>31848000</v>
      </c>
      <c r="L68" s="225">
        <f>SUMIF('pdc2019'!$J$8:$J$1159,'CE statale pluri'!$A68,'pdc2019'!S$8:S$1159)</f>
        <v>31977000</v>
      </c>
      <c r="M68" s="226">
        <f t="shared" si="1"/>
        <v>1056000</v>
      </c>
      <c r="N68" s="340">
        <f t="shared" si="2"/>
        <v>3.4151547491995733E-2</v>
      </c>
      <c r="O68" s="258"/>
    </row>
    <row r="69" spans="1:15" s="55" customFormat="1" outlineLevel="1">
      <c r="A69" s="209" t="s">
        <v>1063</v>
      </c>
      <c r="B69" s="248"/>
      <c r="C69" s="222"/>
      <c r="D69" s="254"/>
      <c r="E69" s="222" t="s">
        <v>3542</v>
      </c>
      <c r="F69" s="625" t="s">
        <v>2886</v>
      </c>
      <c r="G69" s="626"/>
      <c r="H69" s="225">
        <f>SUMIF('pdc2019'!$J$8:$J$1159,'CE statale pluri'!$A69,'pdc2019'!$N$8:$N$1159)</f>
        <v>239292462.52999994</v>
      </c>
      <c r="I69" s="225">
        <f>SUMIF('pdc2019'!$J$8:$J$1159,'CE statale pluri'!$A69,'pdc2019'!P$8:P$1159)</f>
        <v>239387000</v>
      </c>
      <c r="J69" s="225">
        <f>SUMIF('pdc2019'!$J$8:$J$1159,'CE statale pluri'!$A69,'pdc2019'!Q$8:Q$1159)</f>
        <v>243780000</v>
      </c>
      <c r="K69" s="225">
        <f>SUMIF('pdc2019'!$J$8:$J$1159,'CE statale pluri'!$A69,'pdc2019'!R$8:R$1159)</f>
        <v>248333000</v>
      </c>
      <c r="L69" s="225">
        <f>SUMIF('pdc2019'!$J$8:$J$1159,'CE statale pluri'!$A69,'pdc2019'!S$8:S$1159)</f>
        <v>251410000</v>
      </c>
      <c r="M69" s="226">
        <f t="shared" si="1"/>
        <v>12023000</v>
      </c>
      <c r="N69" s="340">
        <f t="shared" si="2"/>
        <v>5.0224114091408471E-2</v>
      </c>
      <c r="O69" s="258"/>
    </row>
    <row r="70" spans="1:15" s="55" customFormat="1" outlineLevel="1">
      <c r="A70" s="209" t="s">
        <v>208</v>
      </c>
      <c r="B70" s="248"/>
      <c r="C70" s="222"/>
      <c r="D70" s="254"/>
      <c r="E70" s="222" t="s">
        <v>3550</v>
      </c>
      <c r="F70" s="625" t="s">
        <v>2887</v>
      </c>
      <c r="G70" s="626"/>
      <c r="H70" s="225">
        <f>SUMIF('pdc2019'!$J$8:$J$1159,'CE statale pluri'!$A70,'pdc2019'!$N$8:$N$1159)</f>
        <v>8991652.7100000009</v>
      </c>
      <c r="I70" s="225">
        <f>SUMIF('pdc2019'!$J$8:$J$1159,'CE statale pluri'!$A70,'pdc2019'!P$8:P$1159)</f>
        <v>9254000</v>
      </c>
      <c r="J70" s="225">
        <f>SUMIF('pdc2019'!$J$8:$J$1159,'CE statale pluri'!$A70,'pdc2019'!Q$8:Q$1159)</f>
        <v>9309000</v>
      </c>
      <c r="K70" s="225">
        <f>SUMIF('pdc2019'!$J$8:$J$1159,'CE statale pluri'!$A70,'pdc2019'!R$8:R$1159)</f>
        <v>9345000</v>
      </c>
      <c r="L70" s="225">
        <f>SUMIF('pdc2019'!$J$8:$J$1159,'CE statale pluri'!$A70,'pdc2019'!S$8:S$1159)</f>
        <v>9407000</v>
      </c>
      <c r="M70" s="226">
        <f t="shared" si="1"/>
        <v>153000</v>
      </c>
      <c r="N70" s="340">
        <f t="shared" si="2"/>
        <v>1.6533390966068727E-2</v>
      </c>
      <c r="O70" s="258"/>
    </row>
    <row r="71" spans="1:15" s="55" customFormat="1" outlineLevel="1">
      <c r="A71" s="209" t="s">
        <v>2888</v>
      </c>
      <c r="B71" s="248"/>
      <c r="C71" s="222"/>
      <c r="D71" s="254"/>
      <c r="E71" s="222" t="s">
        <v>3583</v>
      </c>
      <c r="F71" s="625" t="s">
        <v>2889</v>
      </c>
      <c r="G71" s="626"/>
      <c r="H71" s="225">
        <f>SUMIF('pdc2019'!$J$8:$J$1159,'CE statale pluri'!$A71,'pdc2019'!$N$8:$N$1159)</f>
        <v>127812977.93999994</v>
      </c>
      <c r="I71" s="225">
        <f>SUMIF('pdc2019'!$J$8:$J$1159,'CE statale pluri'!$A71,'pdc2019'!P$8:P$1159)</f>
        <v>128134000</v>
      </c>
      <c r="J71" s="225">
        <f>SUMIF('pdc2019'!$J$8:$J$1159,'CE statale pluri'!$A71,'pdc2019'!Q$8:Q$1159)</f>
        <v>130698000</v>
      </c>
      <c r="K71" s="225">
        <f>SUMIF('pdc2019'!$J$8:$J$1159,'CE statale pluri'!$A71,'pdc2019'!R$8:R$1159)</f>
        <v>132631000</v>
      </c>
      <c r="L71" s="225">
        <f>SUMIF('pdc2019'!$J$8:$J$1159,'CE statale pluri'!$A71,'pdc2019'!S$8:S$1159)</f>
        <v>133776000</v>
      </c>
      <c r="M71" s="226">
        <f t="shared" si="1"/>
        <v>5642000</v>
      </c>
      <c r="N71" s="340">
        <f t="shared" si="2"/>
        <v>4.4032028969672371E-2</v>
      </c>
      <c r="O71" s="258"/>
    </row>
    <row r="72" spans="1:15" s="55" customFormat="1">
      <c r="A72" s="209" t="s">
        <v>196</v>
      </c>
      <c r="B72" s="248"/>
      <c r="C72" s="216" t="s">
        <v>3567</v>
      </c>
      <c r="D72" s="628" t="s">
        <v>2890</v>
      </c>
      <c r="E72" s="628"/>
      <c r="F72" s="628"/>
      <c r="G72" s="629"/>
      <c r="H72" s="217">
        <f>SUMIF('pdc2019'!$J$8:$J$1159,'CE statale pluri'!$A72,'pdc2019'!$N$8:$N$1159)</f>
        <v>3413737.72</v>
      </c>
      <c r="I72" s="217">
        <f>SUMIF('pdc2019'!$J$8:$J$1159,'CE statale pluri'!$A72,'pdc2019'!P$8:P$1159)</f>
        <v>3443000</v>
      </c>
      <c r="J72" s="217">
        <f>SUMIF('pdc2019'!$J$8:$J$1159,'CE statale pluri'!$A72,'pdc2019'!Q$8:Q$1159)</f>
        <v>3526500</v>
      </c>
      <c r="K72" s="217">
        <f>SUMIF('pdc2019'!$J$8:$J$1159,'CE statale pluri'!$A72,'pdc2019'!R$8:R$1159)</f>
        <v>3537500</v>
      </c>
      <c r="L72" s="217">
        <f>SUMIF('pdc2019'!$J$8:$J$1159,'CE statale pluri'!$A72,'pdc2019'!S$8:S$1159)</f>
        <v>3548500</v>
      </c>
      <c r="M72" s="218">
        <f t="shared" si="1"/>
        <v>105500</v>
      </c>
      <c r="N72" s="339">
        <f t="shared" si="2"/>
        <v>3.064188207958176E-2</v>
      </c>
      <c r="O72" s="258"/>
    </row>
    <row r="73" spans="1:15" s="79" customFormat="1">
      <c r="A73" s="209"/>
      <c r="B73" s="248"/>
      <c r="C73" s="216" t="s">
        <v>3570</v>
      </c>
      <c r="D73" s="628" t="s">
        <v>976</v>
      </c>
      <c r="E73" s="628"/>
      <c r="F73" s="628"/>
      <c r="G73" s="629"/>
      <c r="H73" s="217">
        <f>SUM(H74:H76)</f>
        <v>26062872</v>
      </c>
      <c r="I73" s="217">
        <f>SUM(I74:I76)</f>
        <v>26064000</v>
      </c>
      <c r="J73" s="217">
        <f t="shared" ref="J73:L73" si="11">SUM(J74:J76)</f>
        <v>26864000</v>
      </c>
      <c r="K73" s="217">
        <f t="shared" si="11"/>
        <v>28064000</v>
      </c>
      <c r="L73" s="217">
        <f t="shared" si="11"/>
        <v>28864000</v>
      </c>
      <c r="M73" s="218">
        <f t="shared" si="1"/>
        <v>2800000</v>
      </c>
      <c r="N73" s="339">
        <f t="shared" si="2"/>
        <v>0.10742786985880909</v>
      </c>
      <c r="O73" s="265"/>
    </row>
    <row r="74" spans="1:15" s="55" customFormat="1" outlineLevel="1">
      <c r="A74" s="209" t="s">
        <v>2891</v>
      </c>
      <c r="B74" s="248"/>
      <c r="C74" s="222"/>
      <c r="D74" s="254"/>
      <c r="E74" s="222" t="s">
        <v>2851</v>
      </c>
      <c r="F74" s="625" t="s">
        <v>2892</v>
      </c>
      <c r="G74" s="626"/>
      <c r="H74" s="225">
        <f>SUMIF('pdc2019'!$J$8:$J$1159,'CE statale pluri'!$A74,'pdc2019'!$N$8:$N$1159)</f>
        <v>10343209.210000001</v>
      </c>
      <c r="I74" s="225">
        <f>SUMIF('pdc2019'!$J$8:$J$1159,'CE statale pluri'!$A74,'pdc2019'!P$8:P$1159)</f>
        <v>10344000</v>
      </c>
      <c r="J74" s="225">
        <f>SUMIF('pdc2019'!$J$8:$J$1159,'CE statale pluri'!$A74,'pdc2019'!Q$8:Q$1159)</f>
        <v>11144000</v>
      </c>
      <c r="K74" s="225">
        <f>SUMIF('pdc2019'!$J$8:$J$1159,'CE statale pluri'!$A74,'pdc2019'!R$8:R$1159)</f>
        <v>12344000</v>
      </c>
      <c r="L74" s="225">
        <f>SUMIF('pdc2019'!$J$8:$J$1159,'CE statale pluri'!$A74,'pdc2019'!S$8:S$1159)</f>
        <v>13144000</v>
      </c>
      <c r="M74" s="226">
        <f t="shared" si="1"/>
        <v>2800000</v>
      </c>
      <c r="N74" s="340">
        <f t="shared" si="2"/>
        <v>0.27068832173240526</v>
      </c>
      <c r="O74" s="258"/>
    </row>
    <row r="75" spans="1:15" s="79" customFormat="1" outlineLevel="1">
      <c r="A75" s="209" t="s">
        <v>2893</v>
      </c>
      <c r="B75" s="240"/>
      <c r="C75" s="216"/>
      <c r="D75" s="256"/>
      <c r="E75" s="222" t="s">
        <v>2853</v>
      </c>
      <c r="F75" s="625" t="s">
        <v>2894</v>
      </c>
      <c r="G75" s="626"/>
      <c r="H75" s="217">
        <f>SUMIF('pdc2019'!$J$8:$J$1159,'CE statale pluri'!$A75,'pdc2019'!$N$8:$N$1159)</f>
        <v>0</v>
      </c>
      <c r="I75" s="217">
        <f>SUMIF('pdc2019'!$J$8:$J$1159,'CE statale pluri'!$A75,'pdc2019'!P$8:P$1159)</f>
        <v>0</v>
      </c>
      <c r="J75" s="217">
        <f>SUMIF('pdc2019'!$J$8:$J$1159,'CE statale pluri'!$A75,'pdc2019'!Q$8:Q$1159)</f>
        <v>0</v>
      </c>
      <c r="K75" s="217">
        <f>SUMIF('pdc2019'!$J$8:$J$1159,'CE statale pluri'!$A75,'pdc2019'!R$8:R$1159)</f>
        <v>0</v>
      </c>
      <c r="L75" s="217">
        <f>SUMIF('pdc2019'!$J$8:$J$1159,'CE statale pluri'!$A75,'pdc2019'!S$8:S$1159)</f>
        <v>0</v>
      </c>
      <c r="M75" s="218">
        <f t="shared" ref="M75:M121" si="12">L75-I75</f>
        <v>0</v>
      </c>
      <c r="N75" s="339" t="str">
        <f t="shared" ref="N75:N121" si="13">IF(I75=0,"-    ",M75/I75)</f>
        <v xml:space="preserve">-    </v>
      </c>
      <c r="O75" s="265"/>
    </row>
    <row r="76" spans="1:15" s="79" customFormat="1" outlineLevel="1">
      <c r="A76" s="209" t="s">
        <v>2895</v>
      </c>
      <c r="B76" s="240"/>
      <c r="C76" s="216"/>
      <c r="D76" s="256"/>
      <c r="E76" s="222" t="s">
        <v>3542</v>
      </c>
      <c r="F76" s="625" t="s">
        <v>1036</v>
      </c>
      <c r="G76" s="626"/>
      <c r="H76" s="225">
        <f>SUMIF('pdc2019'!$J$8:$J$1159,'CE statale pluri'!$A76,'pdc2019'!$N$8:$N$1159)</f>
        <v>15719662.789999999</v>
      </c>
      <c r="I76" s="225">
        <f>SUMIF('pdc2019'!$J$8:$J$1159,'CE statale pluri'!$A76,'pdc2019'!P$8:P$1159)</f>
        <v>15720000</v>
      </c>
      <c r="J76" s="225">
        <f>SUMIF('pdc2019'!$J$8:$J$1159,'CE statale pluri'!$A76,'pdc2019'!Q$8:Q$1159)</f>
        <v>15720000</v>
      </c>
      <c r="K76" s="225">
        <f>SUMIF('pdc2019'!$J$8:$J$1159,'CE statale pluri'!$A76,'pdc2019'!R$8:R$1159)</f>
        <v>15720000</v>
      </c>
      <c r="L76" s="225">
        <f>SUMIF('pdc2019'!$J$8:$J$1159,'CE statale pluri'!$A76,'pdc2019'!S$8:S$1159)</f>
        <v>15720000</v>
      </c>
      <c r="M76" s="226">
        <f t="shared" si="12"/>
        <v>0</v>
      </c>
      <c r="N76" s="340">
        <f t="shared" si="13"/>
        <v>0</v>
      </c>
      <c r="O76" s="265"/>
    </row>
    <row r="77" spans="1:15" s="79" customFormat="1">
      <c r="A77" s="209" t="s">
        <v>1073</v>
      </c>
      <c r="B77" s="240"/>
      <c r="C77" s="216" t="s">
        <v>3573</v>
      </c>
      <c r="D77" s="628" t="s">
        <v>2896</v>
      </c>
      <c r="E77" s="628"/>
      <c r="F77" s="628"/>
      <c r="G77" s="629"/>
      <c r="H77" s="217">
        <f>SUMIF('pdc2019'!$J$8:$J$1159,'CE statale pluri'!$A77,'pdc2019'!$N$8:$N$1159)</f>
        <v>965046.87</v>
      </c>
      <c r="I77" s="217">
        <f>SUMIF('pdc2019'!$J$8:$J$1159,'CE statale pluri'!$A77,'pdc2019'!P$8:P$1159)</f>
        <v>1050000</v>
      </c>
      <c r="J77" s="217">
        <f>SUMIF('pdc2019'!$J$8:$J$1159,'CE statale pluri'!$A77,'pdc2019'!Q$8:Q$1159)</f>
        <v>1050000</v>
      </c>
      <c r="K77" s="217">
        <f>SUMIF('pdc2019'!$J$8:$J$1159,'CE statale pluri'!$A77,'pdc2019'!R$8:R$1159)</f>
        <v>1050000</v>
      </c>
      <c r="L77" s="217">
        <f>SUMIF('pdc2019'!$J$8:$J$1159,'CE statale pluri'!$A77,'pdc2019'!S$8:S$1159)</f>
        <v>1050000</v>
      </c>
      <c r="M77" s="218">
        <f t="shared" si="12"/>
        <v>0</v>
      </c>
      <c r="N77" s="339">
        <f t="shared" si="13"/>
        <v>0</v>
      </c>
      <c r="O77" s="265"/>
    </row>
    <row r="78" spans="1:15" s="79" customFormat="1">
      <c r="A78" s="209"/>
      <c r="B78" s="240"/>
      <c r="C78" s="216" t="s">
        <v>2897</v>
      </c>
      <c r="D78" s="628" t="s">
        <v>1478</v>
      </c>
      <c r="E78" s="628"/>
      <c r="F78" s="628"/>
      <c r="G78" s="629"/>
      <c r="H78" s="217">
        <f>SUM(H79:H80)</f>
        <v>-1871889.1600000001</v>
      </c>
      <c r="I78" s="217">
        <f>SUM(I79:I80)</f>
        <v>155000</v>
      </c>
      <c r="J78" s="217">
        <f t="shared" ref="J78:L78" si="14">SUM(J79:J80)</f>
        <v>155000</v>
      </c>
      <c r="K78" s="217">
        <f t="shared" si="14"/>
        <v>155000</v>
      </c>
      <c r="L78" s="217">
        <f t="shared" si="14"/>
        <v>155000</v>
      </c>
      <c r="M78" s="218">
        <f t="shared" si="12"/>
        <v>0</v>
      </c>
      <c r="N78" s="339">
        <f t="shared" si="13"/>
        <v>0</v>
      </c>
      <c r="O78" s="265"/>
    </row>
    <row r="79" spans="1:15" s="55" customFormat="1" outlineLevel="1">
      <c r="A79" s="209" t="s">
        <v>2898</v>
      </c>
      <c r="B79" s="257"/>
      <c r="C79" s="250"/>
      <c r="D79" s="254"/>
      <c r="E79" s="222" t="s">
        <v>2851</v>
      </c>
      <c r="F79" s="625" t="s">
        <v>2899</v>
      </c>
      <c r="G79" s="626"/>
      <c r="H79" s="225">
        <f>SUMIF('pdc2019'!$J$8:$J$1159,'CE statale pluri'!$A79,'pdc2019'!$N$8:$N$1159)</f>
        <v>-1880572.1600000001</v>
      </c>
      <c r="I79" s="225">
        <f>SUMIF('pdc2019'!$J$8:$J$1159,'CE statale pluri'!$A79,'pdc2019'!P$8:P$1159)</f>
        <v>110000</v>
      </c>
      <c r="J79" s="225">
        <f>SUMIF('pdc2019'!$J$8:$J$1159,'CE statale pluri'!$A79,'pdc2019'!Q$8:Q$1159)</f>
        <v>110000</v>
      </c>
      <c r="K79" s="225">
        <f>SUMIF('pdc2019'!$J$8:$J$1159,'CE statale pluri'!$A79,'pdc2019'!R$8:R$1159)</f>
        <v>110000</v>
      </c>
      <c r="L79" s="225">
        <f>SUMIF('pdc2019'!$J$8:$J$1159,'CE statale pluri'!$A79,'pdc2019'!S$8:S$1159)</f>
        <v>110000</v>
      </c>
      <c r="M79" s="226">
        <f t="shared" si="12"/>
        <v>0</v>
      </c>
      <c r="N79" s="340">
        <f t="shared" si="13"/>
        <v>0</v>
      </c>
      <c r="O79" s="258"/>
    </row>
    <row r="80" spans="1:15" s="55" customFormat="1" outlineLevel="1">
      <c r="A80" s="209" t="s">
        <v>2900</v>
      </c>
      <c r="B80" s="257"/>
      <c r="C80" s="250"/>
      <c r="D80" s="254"/>
      <c r="E80" s="222" t="s">
        <v>2853</v>
      </c>
      <c r="F80" s="625" t="s">
        <v>2901</v>
      </c>
      <c r="G80" s="626"/>
      <c r="H80" s="225">
        <f>SUMIF('pdc2019'!$J$8:$J$1159,'CE statale pluri'!$A80,'pdc2019'!$N$8:$N$1159)</f>
        <v>8682.9999999999927</v>
      </c>
      <c r="I80" s="225">
        <f>SUMIF('pdc2019'!$J$8:$J$1159,'CE statale pluri'!$A80,'pdc2019'!P$8:P$1159)</f>
        <v>45000</v>
      </c>
      <c r="J80" s="225">
        <f>SUMIF('pdc2019'!$J$8:$J$1159,'CE statale pluri'!$A80,'pdc2019'!Q$8:Q$1159)</f>
        <v>45000</v>
      </c>
      <c r="K80" s="225">
        <f>SUMIF('pdc2019'!$J$8:$J$1159,'CE statale pluri'!$A80,'pdc2019'!R$8:R$1159)</f>
        <v>45000</v>
      </c>
      <c r="L80" s="225">
        <f>SUMIF('pdc2019'!$J$8:$J$1159,'CE statale pluri'!$A80,'pdc2019'!S$8:S$1159)</f>
        <v>45000</v>
      </c>
      <c r="M80" s="226">
        <f t="shared" si="12"/>
        <v>0</v>
      </c>
      <c r="N80" s="340">
        <f t="shared" si="13"/>
        <v>0</v>
      </c>
      <c r="O80" s="258"/>
    </row>
    <row r="81" spans="1:15" s="79" customFormat="1">
      <c r="A81" s="209"/>
      <c r="B81" s="257"/>
      <c r="C81" s="216" t="s">
        <v>2902</v>
      </c>
      <c r="D81" s="628" t="s">
        <v>2903</v>
      </c>
      <c r="E81" s="628"/>
      <c r="F81" s="628"/>
      <c r="G81" s="629"/>
      <c r="H81" s="217">
        <f>SUM(H82:H85)</f>
        <v>11300394.59</v>
      </c>
      <c r="I81" s="217">
        <f>SUM(I82:I85)</f>
        <v>8722000</v>
      </c>
      <c r="J81" s="217">
        <f t="shared" ref="J81:L81" si="15">SUM(J82:J85)</f>
        <v>8722000</v>
      </c>
      <c r="K81" s="217">
        <f t="shared" si="15"/>
        <v>8722000</v>
      </c>
      <c r="L81" s="217">
        <f t="shared" si="15"/>
        <v>8722000</v>
      </c>
      <c r="M81" s="218">
        <f t="shared" si="12"/>
        <v>0</v>
      </c>
      <c r="N81" s="339">
        <f t="shared" si="13"/>
        <v>0</v>
      </c>
      <c r="O81" s="265"/>
    </row>
    <row r="82" spans="1:15" s="55" customFormat="1" outlineLevel="1">
      <c r="A82" s="209" t="s">
        <v>2904</v>
      </c>
      <c r="B82" s="257"/>
      <c r="C82" s="250"/>
      <c r="D82" s="254"/>
      <c r="E82" s="222" t="s">
        <v>2851</v>
      </c>
      <c r="F82" s="625" t="s">
        <v>1480</v>
      </c>
      <c r="G82" s="626"/>
      <c r="H82" s="225">
        <f>SUMIF('pdc2019'!$J$8:$J$1159,'CE statale pluri'!$A82,'pdc2019'!$N$8:$N$1159)</f>
        <v>400822.15</v>
      </c>
      <c r="I82" s="225">
        <f>SUMIF('pdc2019'!$J$8:$J$1159,'CE statale pluri'!$A82,'pdc2019'!P$8:P$1159)</f>
        <v>228000</v>
      </c>
      <c r="J82" s="225">
        <f>SUMIF('pdc2019'!$J$8:$J$1159,'CE statale pluri'!$A82,'pdc2019'!Q$8:Q$1159)</f>
        <v>228000</v>
      </c>
      <c r="K82" s="225">
        <f>SUMIF('pdc2019'!$J$8:$J$1159,'CE statale pluri'!$A82,'pdc2019'!R$8:R$1159)</f>
        <v>228000</v>
      </c>
      <c r="L82" s="225">
        <f>SUMIF('pdc2019'!$J$8:$J$1159,'CE statale pluri'!$A82,'pdc2019'!S$8:S$1159)</f>
        <v>228000</v>
      </c>
      <c r="M82" s="226">
        <f t="shared" si="12"/>
        <v>0</v>
      </c>
      <c r="N82" s="340">
        <f t="shared" si="13"/>
        <v>0</v>
      </c>
      <c r="O82" s="258"/>
    </row>
    <row r="83" spans="1:15" s="55" customFormat="1" outlineLevel="1">
      <c r="A83" s="209" t="s">
        <v>2905</v>
      </c>
      <c r="B83" s="257"/>
      <c r="C83" s="250"/>
      <c r="D83" s="254"/>
      <c r="E83" s="222" t="s">
        <v>2853</v>
      </c>
      <c r="F83" s="625" t="s">
        <v>2906</v>
      </c>
      <c r="G83" s="626"/>
      <c r="H83" s="225">
        <f>SUMIF('pdc2019'!$J$8:$J$1159,'CE statale pluri'!$A83,'pdc2019'!$N$8:$N$1159)</f>
        <v>25000</v>
      </c>
      <c r="I83" s="225">
        <f>SUMIF('pdc2019'!$J$8:$J$1159,'CE statale pluri'!$A83,'pdc2019'!P$8:P$1159)</f>
        <v>50000</v>
      </c>
      <c r="J83" s="225">
        <f>SUMIF('pdc2019'!$J$8:$J$1159,'CE statale pluri'!$A83,'pdc2019'!Q$8:Q$1159)</f>
        <v>50000</v>
      </c>
      <c r="K83" s="225">
        <f>SUMIF('pdc2019'!$J$8:$J$1159,'CE statale pluri'!$A83,'pdc2019'!R$8:R$1159)</f>
        <v>50000</v>
      </c>
      <c r="L83" s="225">
        <f>SUMIF('pdc2019'!$J$8:$J$1159,'CE statale pluri'!$A83,'pdc2019'!S$8:S$1159)</f>
        <v>50000</v>
      </c>
      <c r="M83" s="226">
        <f t="shared" si="12"/>
        <v>0</v>
      </c>
      <c r="N83" s="340">
        <f t="shared" si="13"/>
        <v>0</v>
      </c>
      <c r="O83" s="258"/>
    </row>
    <row r="84" spans="1:15" s="55" customFormat="1" outlineLevel="1">
      <c r="A84" s="209" t="s">
        <v>2907</v>
      </c>
      <c r="B84" s="257"/>
      <c r="C84" s="250"/>
      <c r="D84" s="254"/>
      <c r="E84" s="222" t="s">
        <v>3542</v>
      </c>
      <c r="F84" s="625" t="s">
        <v>2908</v>
      </c>
      <c r="G84" s="626"/>
      <c r="H84" s="225">
        <f>SUMIF('pdc2019'!$J$8:$J$1159,'CE statale pluri'!$A84,'pdc2019'!$N$8:$N$1159)</f>
        <v>78942.33</v>
      </c>
      <c r="I84" s="225">
        <f>SUMIF('pdc2019'!$J$8:$J$1159,'CE statale pluri'!$A84,'pdc2019'!P$8:P$1159)</f>
        <v>0</v>
      </c>
      <c r="J84" s="225">
        <f>SUMIF('pdc2019'!$J$8:$J$1159,'CE statale pluri'!$A84,'pdc2019'!Q$8:Q$1159)</f>
        <v>0</v>
      </c>
      <c r="K84" s="225">
        <f>SUMIF('pdc2019'!$J$8:$J$1159,'CE statale pluri'!$A84,'pdc2019'!R$8:R$1159)</f>
        <v>0</v>
      </c>
      <c r="L84" s="225">
        <f>SUMIF('pdc2019'!$J$8:$J$1159,'CE statale pluri'!$A84,'pdc2019'!S$8:S$1159)</f>
        <v>0</v>
      </c>
      <c r="M84" s="226">
        <f t="shared" si="12"/>
        <v>0</v>
      </c>
      <c r="N84" s="340" t="str">
        <f t="shared" si="13"/>
        <v xml:space="preserve">-    </v>
      </c>
      <c r="O84" s="258"/>
    </row>
    <row r="85" spans="1:15" s="55" customFormat="1" outlineLevel="1">
      <c r="A85" s="209" t="s">
        <v>2909</v>
      </c>
      <c r="B85" s="257"/>
      <c r="C85" s="250"/>
      <c r="D85" s="254"/>
      <c r="E85" s="222" t="s">
        <v>3550</v>
      </c>
      <c r="F85" s="625" t="s">
        <v>2725</v>
      </c>
      <c r="G85" s="626"/>
      <c r="H85" s="225">
        <f>SUMIF('pdc2019'!$J$8:$J$1159,'CE statale pluri'!$A85,'pdc2019'!$N$8:$N$1159)</f>
        <v>10795630.109999999</v>
      </c>
      <c r="I85" s="225">
        <f>SUMIF('pdc2019'!$J$8:$J$1159,'CE statale pluri'!$A85,'pdc2019'!P$8:P$1159)</f>
        <v>8444000</v>
      </c>
      <c r="J85" s="225">
        <f>SUMIF('pdc2019'!$J$8:$J$1159,'CE statale pluri'!$A85,'pdc2019'!Q$8:Q$1159)</f>
        <v>8444000</v>
      </c>
      <c r="K85" s="225">
        <f>SUMIF('pdc2019'!$J$8:$J$1159,'CE statale pluri'!$A85,'pdc2019'!R$8:R$1159)</f>
        <v>8444000</v>
      </c>
      <c r="L85" s="225">
        <f>SUMIF('pdc2019'!$J$8:$J$1159,'CE statale pluri'!$A85,'pdc2019'!S$8:S$1159)</f>
        <v>8444000</v>
      </c>
      <c r="M85" s="226">
        <f t="shared" si="12"/>
        <v>0</v>
      </c>
      <c r="N85" s="340">
        <f t="shared" si="13"/>
        <v>0</v>
      </c>
      <c r="O85" s="258"/>
    </row>
    <row r="86" spans="1:15" s="79" customFormat="1">
      <c r="A86" s="209"/>
      <c r="B86" s="241"/>
      <c r="C86" s="242" t="s">
        <v>2910</v>
      </c>
      <c r="D86" s="242"/>
      <c r="E86" s="242"/>
      <c r="F86" s="242"/>
      <c r="G86" s="243"/>
      <c r="H86" s="244">
        <f>H39+H42+H60+H64+H65+H66+H72+H73+H77+H78+H81</f>
        <v>1281919575.6999996</v>
      </c>
      <c r="I86" s="244">
        <f>I39+I42+I60+I64+I65+I66+I72+I73+I77+I78+I81</f>
        <v>1314106500</v>
      </c>
      <c r="J86" s="244">
        <f t="shared" ref="J86:L86" si="16">J39+J42+J60+J64+J65+J66+J72+J73+J77+J78+J81</f>
        <v>1349938042.5699999</v>
      </c>
      <c r="K86" s="244">
        <f t="shared" si="16"/>
        <v>1385033000</v>
      </c>
      <c r="L86" s="244">
        <f t="shared" si="16"/>
        <v>1413807997.76</v>
      </c>
      <c r="M86" s="245">
        <f t="shared" si="12"/>
        <v>99701497.75999999</v>
      </c>
      <c r="N86" s="345">
        <f t="shared" si="13"/>
        <v>7.5870180811068194E-2</v>
      </c>
      <c r="O86" s="265"/>
    </row>
    <row r="87" spans="1:15" s="55" customFormat="1" ht="6.75" customHeight="1" thickBot="1">
      <c r="A87" s="209"/>
      <c r="B87" s="257"/>
      <c r="C87" s="222"/>
      <c r="D87" s="254"/>
      <c r="E87" s="251"/>
      <c r="F87" s="254"/>
      <c r="G87" s="255"/>
      <c r="H87" s="225"/>
      <c r="I87" s="225"/>
      <c r="J87" s="225"/>
      <c r="K87" s="225"/>
      <c r="L87" s="225"/>
      <c r="M87" s="226">
        <f t="shared" si="12"/>
        <v>0</v>
      </c>
      <c r="N87" s="340" t="str">
        <f t="shared" si="13"/>
        <v xml:space="preserve">-    </v>
      </c>
      <c r="O87" s="258"/>
    </row>
    <row r="88" spans="1:15" s="81" customFormat="1" ht="16.5" thickTop="1" thickBot="1">
      <c r="A88" s="258"/>
      <c r="B88" s="635" t="s">
        <v>2911</v>
      </c>
      <c r="C88" s="636"/>
      <c r="D88" s="636"/>
      <c r="E88" s="636"/>
      <c r="F88" s="636"/>
      <c r="G88" s="637"/>
      <c r="H88" s="262">
        <f>H36-H86</f>
        <v>50838577.310000658</v>
      </c>
      <c r="I88" s="262">
        <f>I36-I86</f>
        <v>55311206.930000067</v>
      </c>
      <c r="J88" s="262">
        <f t="shared" ref="J88:L88" si="17">J36-J86</f>
        <v>35617500</v>
      </c>
      <c r="K88" s="262">
        <f t="shared" si="17"/>
        <v>35750500</v>
      </c>
      <c r="L88" s="262">
        <f t="shared" si="17"/>
        <v>35865500</v>
      </c>
      <c r="M88" s="263">
        <f t="shared" si="12"/>
        <v>-19445706.930000067</v>
      </c>
      <c r="N88" s="346">
        <f t="shared" si="13"/>
        <v>-0.35156902207196228</v>
      </c>
      <c r="O88" s="265"/>
    </row>
    <row r="89" spans="1:15" s="81" customFormat="1" ht="15.75" thickTop="1">
      <c r="A89" s="258"/>
      <c r="B89" s="267"/>
      <c r="C89" s="268"/>
      <c r="D89" s="268"/>
      <c r="E89" s="269"/>
      <c r="F89" s="270"/>
      <c r="G89" s="271"/>
      <c r="H89" s="272"/>
      <c r="I89" s="272"/>
      <c r="J89" s="272"/>
      <c r="K89" s="272"/>
      <c r="L89" s="272"/>
      <c r="M89" s="273"/>
      <c r="N89" s="347"/>
      <c r="O89" s="265"/>
    </row>
    <row r="90" spans="1:15" s="79" customFormat="1">
      <c r="A90" s="209"/>
      <c r="B90" s="215" t="s">
        <v>2262</v>
      </c>
      <c r="C90" s="630" t="s">
        <v>1483</v>
      </c>
      <c r="D90" s="630"/>
      <c r="E90" s="630"/>
      <c r="F90" s="630"/>
      <c r="G90" s="631"/>
      <c r="H90" s="217"/>
      <c r="I90" s="217"/>
      <c r="J90" s="217"/>
      <c r="K90" s="217"/>
      <c r="L90" s="217"/>
      <c r="M90" s="218"/>
      <c r="N90" s="339"/>
      <c r="O90" s="265"/>
    </row>
    <row r="91" spans="1:15" s="79" customFormat="1">
      <c r="A91" s="209" t="s">
        <v>2912</v>
      </c>
      <c r="B91" s="240"/>
      <c r="C91" s="216" t="s">
        <v>2849</v>
      </c>
      <c r="D91" s="628" t="s">
        <v>2913</v>
      </c>
      <c r="E91" s="628"/>
      <c r="F91" s="628"/>
      <c r="G91" s="629"/>
      <c r="H91" s="217">
        <f>SUMIF('pdc2019'!$J$8:$J$1159,'CE statale pluri'!$A91,'pdc2019'!$N$8:$N$1159)</f>
        <v>19419.93</v>
      </c>
      <c r="I91" s="217">
        <f>SUMIF('pdc2019'!$J$8:$J$1159,'CE statale pluri'!$A91,'pdc2019'!P$8:P$1159)</f>
        <v>15032.77</v>
      </c>
      <c r="J91" s="217">
        <f>SUMIF('pdc2019'!$J$8:$J$1159,'CE statale pluri'!$A91,'pdc2019'!Q$8:Q$1159)</f>
        <v>15000</v>
      </c>
      <c r="K91" s="217">
        <f>SUMIF('pdc2019'!$J$8:$J$1159,'CE statale pluri'!$A91,'pdc2019'!R$8:R$1159)</f>
        <v>15000</v>
      </c>
      <c r="L91" s="217">
        <f>SUMIF('pdc2019'!$J$8:$J$1159,'CE statale pluri'!$A91,'pdc2019'!S$8:S$1159)</f>
        <v>15000</v>
      </c>
      <c r="M91" s="218">
        <f t="shared" si="12"/>
        <v>-32.770000000000437</v>
      </c>
      <c r="N91" s="339">
        <f t="shared" si="13"/>
        <v>-2.1799043024007176E-3</v>
      </c>
      <c r="O91" s="265"/>
    </row>
    <row r="92" spans="1:15" s="79" customFormat="1">
      <c r="A92" s="209" t="s">
        <v>2914</v>
      </c>
      <c r="B92" s="240"/>
      <c r="C92" s="216" t="s">
        <v>2858</v>
      </c>
      <c r="D92" s="628" t="s">
        <v>2915</v>
      </c>
      <c r="E92" s="628"/>
      <c r="F92" s="628"/>
      <c r="G92" s="629"/>
      <c r="H92" s="217">
        <f>SUMIF('pdc2019'!$J$8:$J$1159,'CE statale pluri'!$A92,'pdc2019'!$N$8:$N$1159)</f>
        <v>87181.750000000015</v>
      </c>
      <c r="I92" s="217">
        <f>SUMIF('pdc2019'!$J$8:$J$1159,'CE statale pluri'!$A92,'pdc2019'!P$8:P$1159)</f>
        <v>69000</v>
      </c>
      <c r="J92" s="217">
        <f>SUMIF('pdc2019'!$J$8:$J$1159,'CE statale pluri'!$A92,'pdc2019'!Q$8:Q$1159)</f>
        <v>21000</v>
      </c>
      <c r="K92" s="217">
        <f>SUMIF('pdc2019'!$J$8:$J$1159,'CE statale pluri'!$A92,'pdc2019'!R$8:R$1159)</f>
        <v>21000</v>
      </c>
      <c r="L92" s="217">
        <f>SUMIF('pdc2019'!$J$8:$J$1159,'CE statale pluri'!$A92,'pdc2019'!S$8:S$1159)</f>
        <v>21000</v>
      </c>
      <c r="M92" s="218">
        <f t="shared" si="12"/>
        <v>-48000</v>
      </c>
      <c r="N92" s="339">
        <f t="shared" si="13"/>
        <v>-0.69565217391304346</v>
      </c>
      <c r="O92" s="265"/>
    </row>
    <row r="93" spans="1:15" s="79" customFormat="1">
      <c r="A93" s="209"/>
      <c r="B93" s="241"/>
      <c r="C93" s="242" t="s">
        <v>2916</v>
      </c>
      <c r="D93" s="242"/>
      <c r="E93" s="242"/>
      <c r="F93" s="242"/>
      <c r="G93" s="243"/>
      <c r="H93" s="244">
        <f>+H91-H92</f>
        <v>-67761.820000000007</v>
      </c>
      <c r="I93" s="244">
        <f>+I91-I92</f>
        <v>-53967.229999999996</v>
      </c>
      <c r="J93" s="244">
        <f t="shared" ref="J93:L93" si="18">+J91-J92</f>
        <v>-6000</v>
      </c>
      <c r="K93" s="244">
        <f t="shared" si="18"/>
        <v>-6000</v>
      </c>
      <c r="L93" s="244">
        <f t="shared" si="18"/>
        <v>-6000</v>
      </c>
      <c r="M93" s="245">
        <f t="shared" si="12"/>
        <v>47967.229999999996</v>
      </c>
      <c r="N93" s="345">
        <f t="shared" si="13"/>
        <v>-0.88882141996170638</v>
      </c>
      <c r="O93" s="265"/>
    </row>
    <row r="94" spans="1:15" s="55" customFormat="1">
      <c r="A94" s="209"/>
      <c r="B94" s="248"/>
      <c r="C94" s="222"/>
      <c r="D94" s="254"/>
      <c r="E94" s="249"/>
      <c r="F94" s="254"/>
      <c r="G94" s="255"/>
      <c r="H94" s="225"/>
      <c r="I94" s="225"/>
      <c r="J94" s="225"/>
      <c r="K94" s="225"/>
      <c r="L94" s="225"/>
      <c r="M94" s="226"/>
      <c r="N94" s="340"/>
      <c r="O94" s="258"/>
    </row>
    <row r="95" spans="1:15" s="79" customFormat="1">
      <c r="A95" s="209"/>
      <c r="B95" s="215" t="s">
        <v>2363</v>
      </c>
      <c r="C95" s="630" t="s">
        <v>1485</v>
      </c>
      <c r="D95" s="630"/>
      <c r="E95" s="630"/>
      <c r="F95" s="630"/>
      <c r="G95" s="631"/>
      <c r="H95" s="217"/>
      <c r="I95" s="217"/>
      <c r="J95" s="217"/>
      <c r="K95" s="217"/>
      <c r="L95" s="217"/>
      <c r="M95" s="218"/>
      <c r="N95" s="339"/>
      <c r="O95" s="265"/>
    </row>
    <row r="96" spans="1:15" s="79" customFormat="1">
      <c r="A96" s="209" t="s">
        <v>771</v>
      </c>
      <c r="B96" s="240"/>
      <c r="C96" s="216" t="s">
        <v>2849</v>
      </c>
      <c r="D96" s="628" t="s">
        <v>770</v>
      </c>
      <c r="E96" s="628"/>
      <c r="F96" s="628"/>
      <c r="G96" s="629"/>
      <c r="H96" s="217">
        <f>SUMIF('pdc2019'!$J$8:$J$1159,'CE statale pluri'!$A96,'pdc2019'!$N$8:$N$1159)</f>
        <v>6503.01</v>
      </c>
      <c r="I96" s="217">
        <f>SUMIF('pdc2019'!$J$8:$J$1159,'CE statale pluri'!$A96,'pdc2019'!P$8:P$1159)</f>
        <v>0</v>
      </c>
      <c r="J96" s="217">
        <f>SUMIF('pdc2019'!$J$8:$J$1159,'CE statale pluri'!$A96,'pdc2019'!Q$8:Q$1159)</f>
        <v>0</v>
      </c>
      <c r="K96" s="217">
        <f>SUMIF('pdc2019'!$J$8:$J$1159,'CE statale pluri'!$A96,'pdc2019'!R$8:R$1159)</f>
        <v>0</v>
      </c>
      <c r="L96" s="217">
        <f>SUMIF('pdc2019'!$J$8:$J$1159,'CE statale pluri'!$A96,'pdc2019'!S$8:S$1159)</f>
        <v>0</v>
      </c>
      <c r="M96" s="218">
        <f t="shared" si="12"/>
        <v>0</v>
      </c>
      <c r="N96" s="339" t="str">
        <f t="shared" si="13"/>
        <v xml:space="preserve">-    </v>
      </c>
      <c r="O96" s="265"/>
    </row>
    <row r="97" spans="1:15" s="79" customFormat="1">
      <c r="A97" s="209" t="s">
        <v>1798</v>
      </c>
      <c r="B97" s="240"/>
      <c r="C97" s="216" t="s">
        <v>2858</v>
      </c>
      <c r="D97" s="628" t="s">
        <v>1797</v>
      </c>
      <c r="E97" s="628"/>
      <c r="F97" s="628"/>
      <c r="G97" s="629"/>
      <c r="H97" s="217">
        <f>SUMIF('pdc2019'!$J$8:$J$1159,'CE statale pluri'!$A97,'pdc2019'!$N$8:$N$1159)</f>
        <v>0</v>
      </c>
      <c r="I97" s="217">
        <f>SUMIF('pdc2019'!$J$8:$J$1159,'CE statale pluri'!$A97,'pdc2019'!P$8:P$1159)</f>
        <v>0</v>
      </c>
      <c r="J97" s="217">
        <f>SUMIF('pdc2019'!$J$8:$J$1159,'CE statale pluri'!$A97,'pdc2019'!Q$8:Q$1159)</f>
        <v>0</v>
      </c>
      <c r="K97" s="217">
        <f>SUMIF('pdc2019'!$J$8:$J$1159,'CE statale pluri'!$A97,'pdc2019'!R$8:R$1159)</f>
        <v>0</v>
      </c>
      <c r="L97" s="217">
        <f>SUMIF('pdc2019'!$J$8:$J$1159,'CE statale pluri'!$A97,'pdc2019'!S$8:S$1159)</f>
        <v>0</v>
      </c>
      <c r="M97" s="218">
        <f t="shared" si="12"/>
        <v>0</v>
      </c>
      <c r="N97" s="339" t="str">
        <f t="shared" si="13"/>
        <v xml:space="preserve">-    </v>
      </c>
      <c r="O97" s="265"/>
    </row>
    <row r="98" spans="1:15" s="79" customFormat="1">
      <c r="A98" s="209"/>
      <c r="B98" s="241"/>
      <c r="C98" s="242" t="s">
        <v>2917</v>
      </c>
      <c r="D98" s="242"/>
      <c r="E98" s="242"/>
      <c r="F98" s="242"/>
      <c r="G98" s="243"/>
      <c r="H98" s="244">
        <f>H96-H97</f>
        <v>6503.01</v>
      </c>
      <c r="I98" s="244">
        <f>I96-I97</f>
        <v>0</v>
      </c>
      <c r="J98" s="244">
        <f t="shared" ref="J98:L98" si="19">J96-J97</f>
        <v>0</v>
      </c>
      <c r="K98" s="244">
        <f t="shared" si="19"/>
        <v>0</v>
      </c>
      <c r="L98" s="244">
        <f t="shared" si="19"/>
        <v>0</v>
      </c>
      <c r="M98" s="245">
        <f t="shared" si="12"/>
        <v>0</v>
      </c>
      <c r="N98" s="345" t="str">
        <f t="shared" si="13"/>
        <v xml:space="preserve">-    </v>
      </c>
      <c r="O98" s="265"/>
    </row>
    <row r="99" spans="1:15" s="55" customFormat="1">
      <c r="A99" s="209"/>
      <c r="B99" s="248"/>
      <c r="C99" s="222"/>
      <c r="D99" s="251"/>
      <c r="E99" s="249"/>
      <c r="F99" s="223"/>
      <c r="G99" s="224"/>
      <c r="H99" s="225"/>
      <c r="I99" s="225"/>
      <c r="J99" s="225"/>
      <c r="K99" s="225"/>
      <c r="L99" s="225"/>
      <c r="M99" s="226"/>
      <c r="N99" s="340"/>
      <c r="O99" s="258"/>
    </row>
    <row r="100" spans="1:15" s="79" customFormat="1">
      <c r="A100" s="209"/>
      <c r="B100" s="215" t="s">
        <v>1488</v>
      </c>
      <c r="C100" s="630" t="s">
        <v>1490</v>
      </c>
      <c r="D100" s="630"/>
      <c r="E100" s="630"/>
      <c r="F100" s="630"/>
      <c r="G100" s="631"/>
      <c r="H100" s="217"/>
      <c r="I100" s="217"/>
      <c r="J100" s="217"/>
      <c r="K100" s="217"/>
      <c r="L100" s="217"/>
      <c r="M100" s="218"/>
      <c r="N100" s="339"/>
      <c r="O100" s="265"/>
    </row>
    <row r="101" spans="1:15" s="79" customFormat="1">
      <c r="A101" s="209"/>
      <c r="B101" s="240"/>
      <c r="C101" s="216" t="s">
        <v>2849</v>
      </c>
      <c r="D101" s="628" t="s">
        <v>2918</v>
      </c>
      <c r="E101" s="628"/>
      <c r="F101" s="628"/>
      <c r="G101" s="629"/>
      <c r="H101" s="217">
        <f>SUM(H102:H103)</f>
        <v>11097671.699999999</v>
      </c>
      <c r="I101" s="217">
        <f>SUM(I102:I103)</f>
        <v>7468474.8800000008</v>
      </c>
      <c r="J101" s="217">
        <f t="shared" ref="J101:L101" si="20">SUM(J102:J103)</f>
        <v>5010000</v>
      </c>
      <c r="K101" s="217">
        <f t="shared" si="20"/>
        <v>5010000</v>
      </c>
      <c r="L101" s="217">
        <f t="shared" si="20"/>
        <v>5010000</v>
      </c>
      <c r="M101" s="218">
        <f t="shared" si="12"/>
        <v>-2458474.8800000008</v>
      </c>
      <c r="N101" s="339">
        <f t="shared" si="13"/>
        <v>-0.32918031050537599</v>
      </c>
      <c r="O101" s="265"/>
    </row>
    <row r="102" spans="1:15" s="55" customFormat="1" outlineLevel="1">
      <c r="A102" s="209" t="s">
        <v>2</v>
      </c>
      <c r="B102" s="248"/>
      <c r="C102" s="250"/>
      <c r="D102" s="254"/>
      <c r="E102" s="222" t="s">
        <v>2851</v>
      </c>
      <c r="F102" s="625" t="s">
        <v>1</v>
      </c>
      <c r="G102" s="626"/>
      <c r="H102" s="225">
        <f>SUMIF('pdc2019'!$J$8:$J$1159,'CE statale pluri'!$A102,'pdc2019'!$N$8:$N$1159)</f>
        <v>0</v>
      </c>
      <c r="I102" s="225">
        <f>SUMIF('pdc2019'!$J$8:$J$1159,'CE statale pluri'!$A102,'pdc2019'!P$8:P$1159)</f>
        <v>0</v>
      </c>
      <c r="J102" s="225">
        <f>SUMIF('pdc2019'!$J$8:$J$1159,'CE statale pluri'!$A102,'pdc2019'!Q$8:Q$1159)</f>
        <v>0</v>
      </c>
      <c r="K102" s="225">
        <f>SUMIF('pdc2019'!$J$8:$J$1159,'CE statale pluri'!$A102,'pdc2019'!R$8:R$1159)</f>
        <v>0</v>
      </c>
      <c r="L102" s="225">
        <f>SUMIF('pdc2019'!$J$8:$J$1159,'CE statale pluri'!$A102,'pdc2019'!S$8:S$1159)</f>
        <v>0</v>
      </c>
      <c r="M102" s="226">
        <f t="shared" si="12"/>
        <v>0</v>
      </c>
      <c r="N102" s="340" t="str">
        <f t="shared" si="13"/>
        <v xml:space="preserve">-    </v>
      </c>
      <c r="O102" s="258"/>
    </row>
    <row r="103" spans="1:15" s="55" customFormat="1" outlineLevel="1">
      <c r="A103" s="209" t="s">
        <v>740</v>
      </c>
      <c r="B103" s="248"/>
      <c r="C103" s="250"/>
      <c r="D103" s="254"/>
      <c r="E103" s="222" t="s">
        <v>2853</v>
      </c>
      <c r="F103" s="625" t="s">
        <v>745</v>
      </c>
      <c r="G103" s="626"/>
      <c r="H103" s="225">
        <f>SUMIF('pdc2019'!$J$8:$J$1159,'CE statale pluri'!$A103,'pdc2019'!$N$8:$N$1159)</f>
        <v>11097671.699999999</v>
      </c>
      <c r="I103" s="225">
        <f>SUMIF('pdc2019'!$J$8:$J$1159,'CE statale pluri'!$A103,'pdc2019'!P$8:P$1159)</f>
        <v>7468474.8800000008</v>
      </c>
      <c r="J103" s="225">
        <f>SUMIF('pdc2019'!$J$8:$J$1159,'CE statale pluri'!$A103,'pdc2019'!Q$8:Q$1159)</f>
        <v>5010000</v>
      </c>
      <c r="K103" s="225">
        <f>SUMIF('pdc2019'!$J$8:$J$1159,'CE statale pluri'!$A103,'pdc2019'!R$8:R$1159)</f>
        <v>5010000</v>
      </c>
      <c r="L103" s="225">
        <f>SUMIF('pdc2019'!$J$8:$J$1159,'CE statale pluri'!$A103,'pdc2019'!S$8:S$1159)</f>
        <v>5010000</v>
      </c>
      <c r="M103" s="226">
        <f t="shared" si="12"/>
        <v>-2458474.8800000008</v>
      </c>
      <c r="N103" s="340">
        <f t="shared" si="13"/>
        <v>-0.32918031050537599</v>
      </c>
      <c r="O103" s="258"/>
    </row>
    <row r="104" spans="1:15" s="79" customFormat="1">
      <c r="A104" s="209"/>
      <c r="B104" s="240"/>
      <c r="C104" s="216" t="s">
        <v>2858</v>
      </c>
      <c r="D104" s="628" t="s">
        <v>2919</v>
      </c>
      <c r="E104" s="628"/>
      <c r="F104" s="628"/>
      <c r="G104" s="629"/>
      <c r="H104" s="217">
        <f>SUM(H105:H106)</f>
        <v>4731051.8200000012</v>
      </c>
      <c r="I104" s="217">
        <f>SUM(I105:I106)</f>
        <v>680154.14</v>
      </c>
      <c r="J104" s="217">
        <f t="shared" ref="J104:L104" si="21">SUM(J105:J106)</f>
        <v>152500</v>
      </c>
      <c r="K104" s="217">
        <f t="shared" si="21"/>
        <v>152500</v>
      </c>
      <c r="L104" s="217">
        <f t="shared" si="21"/>
        <v>152500</v>
      </c>
      <c r="M104" s="218">
        <f t="shared" si="12"/>
        <v>-527654.14</v>
      </c>
      <c r="N104" s="339">
        <f t="shared" si="13"/>
        <v>-0.77578611812904641</v>
      </c>
      <c r="O104" s="265"/>
    </row>
    <row r="105" spans="1:15" s="55" customFormat="1" outlineLevel="1">
      <c r="A105" s="209" t="s">
        <v>1821</v>
      </c>
      <c r="B105" s="248"/>
      <c r="C105" s="250"/>
      <c r="D105" s="254"/>
      <c r="E105" s="222" t="s">
        <v>2851</v>
      </c>
      <c r="F105" s="625" t="s">
        <v>1818</v>
      </c>
      <c r="G105" s="626"/>
      <c r="H105" s="225">
        <f>SUMIF('pdc2019'!$J$8:$J$1159,'CE statale pluri'!$A105,'pdc2019'!$N$8:$N$1159)</f>
        <v>51769.03</v>
      </c>
      <c r="I105" s="225">
        <f>SUMIF('pdc2019'!$J$8:$J$1159,'CE statale pluri'!$A105,'pdc2019'!P$8:P$1159)</f>
        <v>52000</v>
      </c>
      <c r="J105" s="225">
        <f>SUMIF('pdc2019'!$J$8:$J$1159,'CE statale pluri'!$A105,'pdc2019'!Q$8:Q$1159)</f>
        <v>52000</v>
      </c>
      <c r="K105" s="225">
        <f>SUMIF('pdc2019'!$J$8:$J$1159,'CE statale pluri'!$A105,'pdc2019'!R$8:R$1159)</f>
        <v>52000</v>
      </c>
      <c r="L105" s="225">
        <f>SUMIF('pdc2019'!$J$8:$J$1159,'CE statale pluri'!$A105,'pdc2019'!S$8:S$1159)</f>
        <v>52000</v>
      </c>
      <c r="M105" s="226">
        <f t="shared" si="12"/>
        <v>0</v>
      </c>
      <c r="N105" s="340">
        <f t="shared" si="13"/>
        <v>0</v>
      </c>
      <c r="O105" s="258"/>
    </row>
    <row r="106" spans="1:15" s="55" customFormat="1" outlineLevel="1">
      <c r="A106" s="209" t="s">
        <v>1775</v>
      </c>
      <c r="B106" s="248"/>
      <c r="C106" s="250"/>
      <c r="D106" s="254"/>
      <c r="E106" s="222" t="s">
        <v>2853</v>
      </c>
      <c r="F106" s="625" t="s">
        <v>1779</v>
      </c>
      <c r="G106" s="626"/>
      <c r="H106" s="225">
        <f>SUMIF('pdc2019'!$J$8:$J$1159,'CE statale pluri'!$A106,'pdc2019'!$N$8:$N$1159)</f>
        <v>4679282.790000001</v>
      </c>
      <c r="I106" s="225">
        <f>SUMIF('pdc2019'!$J$8:$J$1159,'CE statale pluri'!$A106,'pdc2019'!P$8:P$1159)</f>
        <v>628154.14</v>
      </c>
      <c r="J106" s="225">
        <f>SUMIF('pdc2019'!$J$8:$J$1159,'CE statale pluri'!$A106,'pdc2019'!Q$8:Q$1159)</f>
        <v>100500</v>
      </c>
      <c r="K106" s="225">
        <f>SUMIF('pdc2019'!$J$8:$J$1159,'CE statale pluri'!$A106,'pdc2019'!R$8:R$1159)</f>
        <v>100500</v>
      </c>
      <c r="L106" s="225">
        <f>SUMIF('pdc2019'!$J$8:$J$1159,'CE statale pluri'!$A106,'pdc2019'!S$8:S$1159)</f>
        <v>100500</v>
      </c>
      <c r="M106" s="226">
        <f t="shared" si="12"/>
        <v>-527654.14</v>
      </c>
      <c r="N106" s="340">
        <f t="shared" si="13"/>
        <v>-0.84000742238202875</v>
      </c>
      <c r="O106" s="258"/>
    </row>
    <row r="107" spans="1:15" s="79" customFormat="1">
      <c r="A107" s="209"/>
      <c r="B107" s="241"/>
      <c r="C107" s="242" t="s">
        <v>2920</v>
      </c>
      <c r="D107" s="242"/>
      <c r="E107" s="242"/>
      <c r="F107" s="242"/>
      <c r="G107" s="243"/>
      <c r="H107" s="244">
        <f>H101-H104</f>
        <v>6366619.879999998</v>
      </c>
      <c r="I107" s="244">
        <f>I101-I104</f>
        <v>6788320.7400000012</v>
      </c>
      <c r="J107" s="244">
        <f t="shared" ref="J107:L107" si="22">J101-J104</f>
        <v>4857500</v>
      </c>
      <c r="K107" s="244">
        <f t="shared" si="22"/>
        <v>4857500</v>
      </c>
      <c r="L107" s="244">
        <f t="shared" si="22"/>
        <v>4857500</v>
      </c>
      <c r="M107" s="245">
        <f t="shared" si="12"/>
        <v>-1930820.7400000012</v>
      </c>
      <c r="N107" s="345">
        <f t="shared" si="13"/>
        <v>-0.28443275059510531</v>
      </c>
      <c r="O107" s="265"/>
    </row>
    <row r="108" spans="1:15" s="55" customFormat="1" ht="15.75" thickBot="1">
      <c r="A108" s="209"/>
      <c r="B108" s="257"/>
      <c r="C108" s="222"/>
      <c r="D108" s="254"/>
      <c r="E108" s="251"/>
      <c r="F108" s="254"/>
      <c r="G108" s="255"/>
      <c r="H108" s="225"/>
      <c r="I108" s="225"/>
      <c r="J108" s="225"/>
      <c r="K108" s="225"/>
      <c r="L108" s="225"/>
      <c r="M108" s="226"/>
      <c r="N108" s="340"/>
      <c r="O108" s="258"/>
    </row>
    <row r="109" spans="1:15" s="81" customFormat="1" ht="16.5" thickTop="1" thickBot="1">
      <c r="A109" s="258"/>
      <c r="B109" s="259" t="s">
        <v>2921</v>
      </c>
      <c r="C109" s="260"/>
      <c r="D109" s="260"/>
      <c r="E109" s="260"/>
      <c r="F109" s="260"/>
      <c r="G109" s="261"/>
      <c r="H109" s="262">
        <f>H88+H93+H98+H107</f>
        <v>57143938.380000651</v>
      </c>
      <c r="I109" s="262">
        <f>I88+I93+I98+I107</f>
        <v>62045560.440000072</v>
      </c>
      <c r="J109" s="262">
        <f t="shared" ref="J109:L109" si="23">J88+J93+J98+J107</f>
        <v>40469000</v>
      </c>
      <c r="K109" s="262">
        <f t="shared" si="23"/>
        <v>40602000</v>
      </c>
      <c r="L109" s="262">
        <f t="shared" si="23"/>
        <v>40717000</v>
      </c>
      <c r="M109" s="263">
        <f t="shared" si="12"/>
        <v>-21328560.440000072</v>
      </c>
      <c r="N109" s="346">
        <f t="shared" si="13"/>
        <v>-0.34375643138279705</v>
      </c>
      <c r="O109" s="265"/>
    </row>
    <row r="110" spans="1:15" s="81" customFormat="1" ht="15.75" thickTop="1">
      <c r="A110" s="258"/>
      <c r="B110" s="267"/>
      <c r="C110" s="268"/>
      <c r="D110" s="268"/>
      <c r="E110" s="269"/>
      <c r="F110" s="270"/>
      <c r="G110" s="271"/>
      <c r="H110" s="272"/>
      <c r="I110" s="272"/>
      <c r="J110" s="272"/>
      <c r="K110" s="272"/>
      <c r="L110" s="272"/>
      <c r="M110" s="273"/>
      <c r="N110" s="347"/>
      <c r="O110" s="265"/>
    </row>
    <row r="111" spans="1:15" s="79" customFormat="1">
      <c r="A111" s="209"/>
      <c r="B111" s="215" t="s">
        <v>2922</v>
      </c>
      <c r="C111" s="630" t="s">
        <v>2923</v>
      </c>
      <c r="D111" s="630"/>
      <c r="E111" s="630"/>
      <c r="F111" s="630"/>
      <c r="G111" s="631"/>
      <c r="H111" s="217"/>
      <c r="I111" s="217"/>
      <c r="J111" s="217"/>
      <c r="K111" s="217"/>
      <c r="L111" s="217"/>
      <c r="M111" s="218"/>
      <c r="N111" s="339"/>
      <c r="O111" s="265"/>
    </row>
    <row r="112" spans="1:15" s="79" customFormat="1">
      <c r="A112" s="209"/>
      <c r="B112" s="240"/>
      <c r="C112" s="216" t="s">
        <v>2849</v>
      </c>
      <c r="D112" s="628" t="s">
        <v>1841</v>
      </c>
      <c r="E112" s="628"/>
      <c r="F112" s="628"/>
      <c r="G112" s="629"/>
      <c r="H112" s="217">
        <f>SUM(H113:H116)</f>
        <v>39522914.770000003</v>
      </c>
      <c r="I112" s="217">
        <f>SUM(I113:I116)</f>
        <v>40354000</v>
      </c>
      <c r="J112" s="217">
        <f t="shared" ref="J112:L112" si="24">SUM(J113:J116)</f>
        <v>40469000</v>
      </c>
      <c r="K112" s="217">
        <f t="shared" si="24"/>
        <v>40602000</v>
      </c>
      <c r="L112" s="217">
        <f t="shared" si="24"/>
        <v>40717000</v>
      </c>
      <c r="M112" s="218">
        <f t="shared" si="12"/>
        <v>363000</v>
      </c>
      <c r="N112" s="339">
        <f t="shared" si="13"/>
        <v>8.9953907914952676E-3</v>
      </c>
      <c r="O112" s="265"/>
    </row>
    <row r="113" spans="1:15" s="55" customFormat="1" outlineLevel="1">
      <c r="A113" s="209" t="s">
        <v>2924</v>
      </c>
      <c r="B113" s="257"/>
      <c r="C113" s="250"/>
      <c r="D113" s="254"/>
      <c r="E113" s="222" t="s">
        <v>2851</v>
      </c>
      <c r="F113" s="625" t="s">
        <v>2521</v>
      </c>
      <c r="G113" s="626"/>
      <c r="H113" s="225">
        <f>SUMIF('pdc2019'!$J$8:$J$1159,'CE statale pluri'!$A113,'pdc2019'!$N$8:$N$1159)</f>
        <v>39178373.280000001</v>
      </c>
      <c r="I113" s="225">
        <f>SUMIF('pdc2019'!$J$8:$J$1159,'CE statale pluri'!$A113,'pdc2019'!P$8:P$1159)</f>
        <v>40000000</v>
      </c>
      <c r="J113" s="225">
        <f>SUMIF('pdc2019'!$J$8:$J$1159,'CE statale pluri'!$A113,'pdc2019'!Q$8:Q$1159)</f>
        <v>40115000</v>
      </c>
      <c r="K113" s="225">
        <f>SUMIF('pdc2019'!$J$8:$J$1159,'CE statale pluri'!$A113,'pdc2019'!R$8:R$1159)</f>
        <v>40248000</v>
      </c>
      <c r="L113" s="225">
        <f>SUMIF('pdc2019'!$J$8:$J$1159,'CE statale pluri'!$A113,'pdc2019'!S$8:S$1159)</f>
        <v>40363000</v>
      </c>
      <c r="M113" s="226">
        <f t="shared" si="12"/>
        <v>363000</v>
      </c>
      <c r="N113" s="340">
        <f t="shared" si="13"/>
        <v>9.0749999999999997E-3</v>
      </c>
      <c r="O113" s="258"/>
    </row>
    <row r="114" spans="1:15" s="55" customFormat="1" outlineLevel="1">
      <c r="A114" s="209" t="s">
        <v>2925</v>
      </c>
      <c r="B114" s="257"/>
      <c r="C114" s="250"/>
      <c r="D114" s="254"/>
      <c r="E114" s="222" t="s">
        <v>2853</v>
      </c>
      <c r="F114" s="625" t="s">
        <v>2524</v>
      </c>
      <c r="G114" s="626"/>
      <c r="H114" s="225">
        <f>SUMIF('pdc2019'!$J$8:$J$1159,'CE statale pluri'!$A114,'pdc2019'!$N$8:$N$1159)</f>
        <v>193752.25</v>
      </c>
      <c r="I114" s="225">
        <f>SUMIF('pdc2019'!$J$8:$J$1159,'CE statale pluri'!$A114,'pdc2019'!P$8:P$1159)</f>
        <v>202000</v>
      </c>
      <c r="J114" s="225">
        <f>SUMIF('pdc2019'!$J$8:$J$1159,'CE statale pluri'!$A114,'pdc2019'!Q$8:Q$1159)</f>
        <v>202000</v>
      </c>
      <c r="K114" s="225">
        <f>SUMIF('pdc2019'!$J$8:$J$1159,'CE statale pluri'!$A114,'pdc2019'!R$8:R$1159)</f>
        <v>202000</v>
      </c>
      <c r="L114" s="225">
        <f>SUMIF('pdc2019'!$J$8:$J$1159,'CE statale pluri'!$A114,'pdc2019'!S$8:S$1159)</f>
        <v>202000</v>
      </c>
      <c r="M114" s="226">
        <f t="shared" si="12"/>
        <v>0</v>
      </c>
      <c r="N114" s="340">
        <f t="shared" si="13"/>
        <v>0</v>
      </c>
      <c r="O114" s="258"/>
    </row>
    <row r="115" spans="1:15" s="55" customFormat="1" outlineLevel="1">
      <c r="A115" s="209" t="s">
        <v>2926</v>
      </c>
      <c r="B115" s="257"/>
      <c r="C115" s="250"/>
      <c r="D115" s="254"/>
      <c r="E115" s="222" t="s">
        <v>3542</v>
      </c>
      <c r="F115" s="625" t="s">
        <v>1864</v>
      </c>
      <c r="G115" s="626"/>
      <c r="H115" s="225">
        <f>SUMIF('pdc2019'!$J$8:$J$1159,'CE statale pluri'!$A115,'pdc2019'!$N$8:$N$1159)</f>
        <v>150789.24</v>
      </c>
      <c r="I115" s="225">
        <f>SUMIF('pdc2019'!$J$8:$J$1159,'CE statale pluri'!$A115,'pdc2019'!P$8:P$1159)</f>
        <v>152000</v>
      </c>
      <c r="J115" s="225">
        <f>SUMIF('pdc2019'!$J$8:$J$1159,'CE statale pluri'!$A115,'pdc2019'!Q$8:Q$1159)</f>
        <v>152000</v>
      </c>
      <c r="K115" s="225">
        <f>SUMIF('pdc2019'!$J$8:$J$1159,'CE statale pluri'!$A115,'pdc2019'!R$8:R$1159)</f>
        <v>152000</v>
      </c>
      <c r="L115" s="225">
        <f>SUMIF('pdc2019'!$J$8:$J$1159,'CE statale pluri'!$A115,'pdc2019'!S$8:S$1159)</f>
        <v>152000</v>
      </c>
      <c r="M115" s="226">
        <f t="shared" si="12"/>
        <v>0</v>
      </c>
      <c r="N115" s="340">
        <f t="shared" si="13"/>
        <v>0</v>
      </c>
      <c r="O115" s="258"/>
    </row>
    <row r="116" spans="1:15" s="55" customFormat="1" outlineLevel="1">
      <c r="A116" s="209" t="s">
        <v>2927</v>
      </c>
      <c r="B116" s="257"/>
      <c r="C116" s="250"/>
      <c r="D116" s="254"/>
      <c r="E116" s="222" t="s">
        <v>3550</v>
      </c>
      <c r="F116" s="625" t="s">
        <v>2528</v>
      </c>
      <c r="G116" s="626"/>
      <c r="H116" s="225">
        <f>SUMIF('pdc2019'!$J$8:$J$1159,'CE statale pluri'!$A116,'pdc2019'!$N$8:$N$1159)</f>
        <v>0</v>
      </c>
      <c r="I116" s="225">
        <f>SUMIF('pdc2019'!$J$8:$J$1159,'CE statale pluri'!$A116,'pdc2019'!P$8:P$1159)</f>
        <v>0</v>
      </c>
      <c r="J116" s="225">
        <f>SUMIF('pdc2019'!$J$8:$J$1159,'CE statale pluri'!$A116,'pdc2019'!Q$8:Q$1159)</f>
        <v>0</v>
      </c>
      <c r="K116" s="225">
        <f>SUMIF('pdc2019'!$J$8:$J$1159,'CE statale pluri'!$A116,'pdc2019'!R$8:R$1159)</f>
        <v>0</v>
      </c>
      <c r="L116" s="225">
        <f>SUMIF('pdc2019'!$J$8:$J$1159,'CE statale pluri'!$A116,'pdc2019'!S$8:S$1159)</f>
        <v>0</v>
      </c>
      <c r="M116" s="226">
        <f t="shared" si="12"/>
        <v>0</v>
      </c>
      <c r="N116" s="340" t="str">
        <f t="shared" si="13"/>
        <v xml:space="preserve">-    </v>
      </c>
      <c r="O116" s="258"/>
    </row>
    <row r="117" spans="1:15" s="79" customFormat="1" outlineLevel="1">
      <c r="A117" s="209" t="s">
        <v>2928</v>
      </c>
      <c r="B117" s="240"/>
      <c r="C117" s="216" t="s">
        <v>2858</v>
      </c>
      <c r="D117" s="628" t="s">
        <v>1827</v>
      </c>
      <c r="E117" s="628"/>
      <c r="F117" s="628"/>
      <c r="G117" s="629"/>
      <c r="H117" s="217">
        <f>SUMIF('pdc2019'!$J$8:$J$1159,'CE statale pluri'!$A117,'pdc2019'!$N$8:$N$1159)</f>
        <v>0</v>
      </c>
      <c r="I117" s="217">
        <f>SUMIF('pdc2019'!$J$8:$J$1159,'CE statale pluri'!$A117,'pdc2019'!P$8:P$1159)</f>
        <v>0</v>
      </c>
      <c r="J117" s="217">
        <f>SUMIF('pdc2019'!$J$8:$J$1159,'CE statale pluri'!$A117,'pdc2019'!Q$8:Q$1159)</f>
        <v>0</v>
      </c>
      <c r="K117" s="217">
        <f>SUMIF('pdc2019'!$J$8:$J$1159,'CE statale pluri'!$A117,'pdc2019'!R$8:R$1159)</f>
        <v>0</v>
      </c>
      <c r="L117" s="217">
        <f>SUMIF('pdc2019'!$J$8:$J$1159,'CE statale pluri'!$A117,'pdc2019'!S$8:S$1159)</f>
        <v>0</v>
      </c>
      <c r="M117" s="218">
        <f t="shared" si="12"/>
        <v>0</v>
      </c>
      <c r="N117" s="339" t="str">
        <f t="shared" si="13"/>
        <v xml:space="preserve">-    </v>
      </c>
      <c r="O117" s="265"/>
    </row>
    <row r="118" spans="1:15" s="79" customFormat="1">
      <c r="A118" s="209" t="s">
        <v>1072</v>
      </c>
      <c r="B118" s="240"/>
      <c r="C118" s="216" t="s">
        <v>2861</v>
      </c>
      <c r="D118" s="628" t="s">
        <v>2929</v>
      </c>
      <c r="E118" s="628"/>
      <c r="F118" s="628"/>
      <c r="G118" s="629"/>
      <c r="H118" s="217">
        <f>SUMIF('pdc2019'!$J$8:$J$1159,'CE statale pluri'!$A118,'pdc2019'!$N$8:$N$1159)</f>
        <v>0</v>
      </c>
      <c r="I118" s="217">
        <f>SUMIF('pdc2019'!$J$8:$J$1159,'CE statale pluri'!$A118,'pdc2019'!P$8:P$1159)</f>
        <v>0</v>
      </c>
      <c r="J118" s="217">
        <f>SUMIF('pdc2019'!$J$8:$J$1159,'CE statale pluri'!$A118,'pdc2019'!Q$8:Q$1159)</f>
        <v>0</v>
      </c>
      <c r="K118" s="217">
        <f>SUMIF('pdc2019'!$J$8:$J$1159,'CE statale pluri'!$A118,'pdc2019'!R$8:R$1159)</f>
        <v>0</v>
      </c>
      <c r="L118" s="217">
        <f>SUMIF('pdc2019'!$J$8:$J$1159,'CE statale pluri'!$A118,'pdc2019'!S$8:S$1159)</f>
        <v>0</v>
      </c>
      <c r="M118" s="218">
        <f t="shared" si="12"/>
        <v>0</v>
      </c>
      <c r="N118" s="339" t="str">
        <f t="shared" si="13"/>
        <v xml:space="preserve">-    </v>
      </c>
      <c r="O118" s="265"/>
    </row>
    <row r="119" spans="1:15" s="79" customFormat="1">
      <c r="A119" s="209"/>
      <c r="B119" s="241"/>
      <c r="C119" s="242" t="s">
        <v>2930</v>
      </c>
      <c r="D119" s="242"/>
      <c r="E119" s="242"/>
      <c r="F119" s="242"/>
      <c r="G119" s="243"/>
      <c r="H119" s="244">
        <f>H112+H117+H118</f>
        <v>39522914.770000003</v>
      </c>
      <c r="I119" s="244">
        <f>I112+I117+I118</f>
        <v>40354000</v>
      </c>
      <c r="J119" s="244">
        <f t="shared" ref="J119:L119" si="25">J112+J117+J118</f>
        <v>40469000</v>
      </c>
      <c r="K119" s="244">
        <f t="shared" si="25"/>
        <v>40602000</v>
      </c>
      <c r="L119" s="244">
        <f t="shared" si="25"/>
        <v>40717000</v>
      </c>
      <c r="M119" s="245">
        <f t="shared" si="12"/>
        <v>363000</v>
      </c>
      <c r="N119" s="345">
        <f t="shared" si="13"/>
        <v>8.9953907914952676E-3</v>
      </c>
      <c r="O119" s="265"/>
    </row>
    <row r="120" spans="1:15" s="55" customFormat="1">
      <c r="A120" s="209"/>
      <c r="B120" s="257"/>
      <c r="C120" s="222"/>
      <c r="D120" s="254"/>
      <c r="E120" s="251"/>
      <c r="F120" s="254"/>
      <c r="G120" s="255"/>
      <c r="H120" s="225"/>
      <c r="I120" s="225"/>
      <c r="J120" s="225"/>
      <c r="K120" s="225"/>
      <c r="L120" s="225"/>
      <c r="M120" s="226"/>
      <c r="N120" s="340"/>
      <c r="O120" s="258"/>
    </row>
    <row r="121" spans="1:15" s="81" customFormat="1" ht="15.75" thickBot="1">
      <c r="A121" s="258"/>
      <c r="B121" s="276" t="s">
        <v>1491</v>
      </c>
      <c r="C121" s="277"/>
      <c r="D121" s="278"/>
      <c r="E121" s="277"/>
      <c r="F121" s="279"/>
      <c r="G121" s="280"/>
      <c r="H121" s="281">
        <f>H109-H119</f>
        <v>17621023.610000648</v>
      </c>
      <c r="I121" s="281">
        <f>I109-I119</f>
        <v>21691560.440000072</v>
      </c>
      <c r="J121" s="281">
        <f t="shared" ref="J121:L121" si="26">J109-J119</f>
        <v>0</v>
      </c>
      <c r="K121" s="281">
        <f t="shared" si="26"/>
        <v>0</v>
      </c>
      <c r="L121" s="281">
        <f t="shared" si="26"/>
        <v>0</v>
      </c>
      <c r="M121" s="282">
        <f t="shared" si="12"/>
        <v>-21691560.440000072</v>
      </c>
      <c r="N121" s="348">
        <f t="shared" si="13"/>
        <v>-1</v>
      </c>
      <c r="O121" s="265"/>
    </row>
    <row r="122" spans="1:15" s="55" customFormat="1">
      <c r="B122" s="82"/>
      <c r="C122" s="82"/>
      <c r="D122" s="83"/>
      <c r="E122" s="83"/>
      <c r="F122" s="84"/>
      <c r="G122" s="84"/>
      <c r="H122" s="85"/>
      <c r="I122" s="85"/>
      <c r="J122" s="85"/>
      <c r="K122" s="85"/>
      <c r="L122" s="85"/>
      <c r="M122" s="86"/>
      <c r="N122" s="349"/>
      <c r="O122" s="350"/>
    </row>
    <row r="123" spans="1:15">
      <c r="B123" s="88"/>
      <c r="C123" s="88"/>
      <c r="D123" s="54"/>
      <c r="E123" s="54"/>
      <c r="F123" s="54"/>
      <c r="G123" s="54"/>
      <c r="H123" s="52"/>
      <c r="I123" s="89"/>
      <c r="J123" s="89"/>
      <c r="K123" s="89"/>
      <c r="L123" s="89"/>
    </row>
    <row r="124" spans="1:15">
      <c r="B124" s="90"/>
      <c r="C124" s="90"/>
      <c r="D124" s="91"/>
      <c r="E124" s="91"/>
      <c r="F124" s="91"/>
      <c r="G124" s="92"/>
      <c r="H124" s="89"/>
      <c r="I124" s="89"/>
      <c r="J124" s="89"/>
      <c r="K124" s="89"/>
      <c r="L124" s="89"/>
    </row>
    <row r="125" spans="1:15">
      <c r="B125" s="90"/>
      <c r="C125" s="90"/>
      <c r="D125" s="91"/>
      <c r="E125" s="91"/>
      <c r="F125" s="91"/>
      <c r="G125" s="92"/>
      <c r="H125" s="89"/>
      <c r="I125" s="89"/>
      <c r="J125" s="89"/>
      <c r="K125" s="89"/>
      <c r="L125" s="89"/>
    </row>
    <row r="126" spans="1:15">
      <c r="B126" s="90"/>
      <c r="C126" s="90"/>
      <c r="D126" s="91"/>
      <c r="E126" s="91"/>
      <c r="F126" s="91"/>
      <c r="G126" s="92"/>
      <c r="H126" s="89"/>
      <c r="I126" s="89"/>
      <c r="J126" s="89"/>
      <c r="K126" s="89"/>
      <c r="L126" s="89"/>
    </row>
    <row r="127" spans="1:15">
      <c r="B127" s="90"/>
      <c r="C127" s="90"/>
      <c r="D127" s="91"/>
      <c r="E127" s="91"/>
      <c r="F127" s="91"/>
      <c r="G127" s="92"/>
      <c r="H127" s="89"/>
      <c r="I127" s="89"/>
      <c r="J127" s="89"/>
      <c r="K127" s="89"/>
      <c r="L127" s="89"/>
    </row>
    <row r="128" spans="1:15">
      <c r="B128" s="90"/>
      <c r="C128" s="90"/>
      <c r="D128" s="91"/>
      <c r="E128" s="91"/>
      <c r="F128" s="91"/>
      <c r="G128" s="92"/>
      <c r="H128" s="89"/>
      <c r="I128" s="89"/>
      <c r="J128" s="89"/>
      <c r="K128" s="89"/>
      <c r="L128" s="89"/>
    </row>
    <row r="129" spans="2:15">
      <c r="B129" s="90"/>
      <c r="C129" s="90"/>
      <c r="D129" s="91"/>
      <c r="E129" s="91"/>
      <c r="F129" s="91"/>
      <c r="G129" s="92"/>
      <c r="H129" s="89"/>
      <c r="I129" s="89"/>
      <c r="J129" s="89"/>
      <c r="K129" s="89"/>
      <c r="L129" s="89"/>
    </row>
    <row r="130" spans="2:15">
      <c r="B130" s="90"/>
      <c r="C130" s="90"/>
      <c r="D130" s="91"/>
      <c r="E130" s="91"/>
      <c r="F130" s="91"/>
      <c r="G130" s="92"/>
      <c r="H130" s="89"/>
      <c r="I130" s="89"/>
      <c r="J130" s="89"/>
      <c r="K130" s="89"/>
      <c r="L130" s="89"/>
    </row>
    <row r="131" spans="2:15">
      <c r="B131" s="90"/>
      <c r="C131" s="90"/>
      <c r="D131" s="91"/>
      <c r="E131" s="91"/>
      <c r="F131" s="91"/>
      <c r="G131" s="92"/>
      <c r="H131" s="89"/>
      <c r="I131" s="89"/>
      <c r="J131" s="89"/>
      <c r="K131" s="89"/>
      <c r="L131" s="89"/>
    </row>
    <row r="132" spans="2:15">
      <c r="B132" s="90"/>
      <c r="C132" s="90"/>
      <c r="D132" s="91"/>
      <c r="E132" s="91"/>
      <c r="F132" s="91"/>
      <c r="G132" s="92"/>
      <c r="H132" s="89"/>
      <c r="I132" s="89"/>
      <c r="J132" s="89"/>
      <c r="K132" s="89"/>
      <c r="L132" s="89"/>
    </row>
    <row r="133" spans="2:15">
      <c r="B133" s="90"/>
      <c r="C133" s="90"/>
      <c r="D133" s="91"/>
      <c r="E133" s="91"/>
      <c r="F133" s="91"/>
      <c r="G133" s="92"/>
      <c r="H133" s="89"/>
      <c r="I133" s="89"/>
      <c r="J133" s="89"/>
      <c r="K133" s="89"/>
      <c r="L133" s="89"/>
    </row>
    <row r="134" spans="2:15">
      <c r="B134" s="90"/>
      <c r="C134" s="90"/>
      <c r="D134" s="91"/>
      <c r="E134" s="91"/>
      <c r="F134" s="91"/>
      <c r="G134" s="92"/>
      <c r="H134" s="89"/>
      <c r="I134" s="89"/>
      <c r="J134" s="89"/>
      <c r="K134" s="89"/>
      <c r="L134" s="89"/>
    </row>
    <row r="135" spans="2:15">
      <c r="B135" s="90"/>
      <c r="C135" s="90"/>
      <c r="D135" s="91"/>
      <c r="E135" s="91"/>
      <c r="F135" s="91"/>
      <c r="G135" s="92"/>
    </row>
    <row r="136" spans="2:15">
      <c r="B136" s="90"/>
      <c r="C136" s="90"/>
      <c r="D136" s="91"/>
      <c r="E136" s="91"/>
      <c r="F136" s="91"/>
      <c r="G136" s="92"/>
    </row>
    <row r="137" spans="2:15">
      <c r="B137" s="90"/>
      <c r="C137" s="90"/>
      <c r="D137" s="91"/>
      <c r="E137" s="91"/>
      <c r="F137" s="91"/>
      <c r="G137" s="92"/>
    </row>
    <row r="138" spans="2:15">
      <c r="B138" s="90"/>
      <c r="C138" s="90"/>
      <c r="D138" s="91"/>
      <c r="E138" s="91"/>
      <c r="F138" s="91"/>
      <c r="G138" s="92"/>
    </row>
    <row r="139" spans="2:15">
      <c r="B139" s="90"/>
      <c r="C139" s="90"/>
      <c r="D139" s="91"/>
      <c r="E139" s="91"/>
      <c r="F139" s="91"/>
      <c r="G139" s="92"/>
    </row>
    <row r="140" spans="2:15">
      <c r="B140" s="90"/>
      <c r="C140" s="90"/>
      <c r="D140" s="91"/>
      <c r="E140" s="91"/>
      <c r="F140" s="91"/>
      <c r="G140" s="92"/>
    </row>
    <row r="141" spans="2:15">
      <c r="B141" s="90"/>
      <c r="C141" s="90"/>
      <c r="D141" s="91"/>
      <c r="E141" s="91"/>
      <c r="F141" s="91"/>
      <c r="G141" s="92"/>
    </row>
    <row r="142" spans="2:15">
      <c r="B142" s="90"/>
      <c r="C142" s="90"/>
      <c r="D142" s="91"/>
      <c r="E142" s="91"/>
      <c r="F142" s="91"/>
      <c r="G142" s="92"/>
    </row>
    <row r="143" spans="2:15" s="93" customFormat="1">
      <c r="B143" s="90"/>
      <c r="C143" s="90"/>
      <c r="D143" s="91"/>
      <c r="E143" s="91"/>
      <c r="F143" s="91"/>
      <c r="G143" s="92"/>
      <c r="H143" s="64"/>
      <c r="I143" s="64"/>
      <c r="J143" s="64"/>
      <c r="K143" s="64"/>
      <c r="L143" s="64"/>
      <c r="M143" s="64"/>
      <c r="N143" s="64"/>
      <c r="O143" s="337"/>
    </row>
    <row r="144" spans="2:15" s="93" customFormat="1">
      <c r="B144" s="90"/>
      <c r="C144" s="90"/>
      <c r="D144" s="91"/>
      <c r="E144" s="91"/>
      <c r="F144" s="91"/>
      <c r="G144" s="92"/>
      <c r="H144" s="64"/>
      <c r="I144" s="64"/>
      <c r="J144" s="64"/>
      <c r="K144" s="64"/>
      <c r="L144" s="64"/>
      <c r="M144" s="64"/>
      <c r="N144" s="64"/>
      <c r="O144" s="337"/>
    </row>
    <row r="145" spans="2:15" s="93" customFormat="1">
      <c r="B145" s="90"/>
      <c r="C145" s="90"/>
      <c r="D145" s="91"/>
      <c r="E145" s="91"/>
      <c r="F145" s="91"/>
      <c r="G145" s="92"/>
      <c r="H145" s="64"/>
      <c r="I145" s="64"/>
      <c r="J145" s="64"/>
      <c r="K145" s="64"/>
      <c r="L145" s="64"/>
      <c r="M145" s="64"/>
      <c r="N145" s="64"/>
      <c r="O145" s="337"/>
    </row>
    <row r="146" spans="2:15" s="93" customFormat="1">
      <c r="B146" s="90"/>
      <c r="C146" s="90"/>
      <c r="D146" s="91"/>
      <c r="E146" s="91"/>
      <c r="F146" s="91"/>
      <c r="G146" s="92"/>
      <c r="H146" s="64"/>
      <c r="I146" s="64"/>
      <c r="J146" s="64"/>
      <c r="K146" s="64"/>
      <c r="L146" s="64"/>
      <c r="M146" s="64"/>
      <c r="N146" s="64"/>
      <c r="O146" s="337"/>
    </row>
    <row r="147" spans="2:15" s="93" customFormat="1">
      <c r="B147" s="90"/>
      <c r="C147" s="90"/>
      <c r="D147" s="91"/>
      <c r="E147" s="91"/>
      <c r="F147" s="91"/>
      <c r="G147" s="92"/>
      <c r="H147" s="64"/>
      <c r="I147" s="64"/>
      <c r="J147" s="64"/>
      <c r="K147" s="64"/>
      <c r="L147" s="64"/>
      <c r="M147" s="64"/>
      <c r="N147" s="64"/>
      <c r="O147" s="337"/>
    </row>
    <row r="148" spans="2:15" s="93" customFormat="1">
      <c r="B148" s="90"/>
      <c r="C148" s="90"/>
      <c r="D148" s="91"/>
      <c r="E148" s="91"/>
      <c r="F148" s="91"/>
      <c r="G148" s="92"/>
      <c r="H148" s="64"/>
      <c r="I148" s="64"/>
      <c r="J148" s="64"/>
      <c r="K148" s="64"/>
      <c r="L148" s="64"/>
      <c r="M148" s="64"/>
      <c r="N148" s="64"/>
      <c r="O148" s="337"/>
    </row>
    <row r="149" spans="2:15" s="93" customFormat="1">
      <c r="B149" s="90"/>
      <c r="C149" s="90"/>
      <c r="D149" s="91"/>
      <c r="E149" s="91"/>
      <c r="F149" s="91"/>
      <c r="G149" s="92"/>
      <c r="H149" s="64"/>
      <c r="I149" s="64"/>
      <c r="J149" s="64"/>
      <c r="K149" s="64"/>
      <c r="L149" s="64"/>
      <c r="M149" s="64"/>
      <c r="N149" s="64"/>
      <c r="O149" s="337"/>
    </row>
    <row r="150" spans="2:15" s="93" customFormat="1">
      <c r="B150" s="90"/>
      <c r="C150" s="90"/>
      <c r="D150" s="91"/>
      <c r="E150" s="91"/>
      <c r="F150" s="91"/>
      <c r="G150" s="92"/>
      <c r="H150" s="64"/>
      <c r="I150" s="64"/>
      <c r="J150" s="64"/>
      <c r="K150" s="64"/>
      <c r="L150" s="64"/>
      <c r="M150" s="64"/>
      <c r="N150" s="64"/>
      <c r="O150" s="337"/>
    </row>
    <row r="151" spans="2:15" s="93" customFormat="1">
      <c r="B151" s="90"/>
      <c r="C151" s="90"/>
      <c r="D151" s="91"/>
      <c r="E151" s="91"/>
      <c r="F151" s="91"/>
      <c r="G151" s="92"/>
      <c r="H151" s="64"/>
      <c r="I151" s="64"/>
      <c r="J151" s="64"/>
      <c r="K151" s="64"/>
      <c r="L151" s="64"/>
      <c r="M151" s="64"/>
      <c r="N151" s="64"/>
      <c r="O151" s="337"/>
    </row>
    <row r="152" spans="2:15" s="93" customFormat="1">
      <c r="B152" s="90"/>
      <c r="C152" s="90"/>
      <c r="D152" s="91"/>
      <c r="E152" s="91"/>
      <c r="F152" s="91"/>
      <c r="G152" s="92"/>
      <c r="H152" s="64"/>
      <c r="I152" s="64"/>
      <c r="J152" s="64"/>
      <c r="K152" s="64"/>
      <c r="L152" s="64"/>
      <c r="M152" s="64"/>
      <c r="N152" s="64"/>
      <c r="O152" s="337"/>
    </row>
    <row r="153" spans="2:15" s="93" customFormat="1">
      <c r="B153" s="90"/>
      <c r="C153" s="90"/>
      <c r="D153" s="91"/>
      <c r="E153" s="91"/>
      <c r="F153" s="91"/>
      <c r="G153" s="92"/>
      <c r="H153" s="64"/>
      <c r="I153" s="64"/>
      <c r="J153" s="64"/>
      <c r="K153" s="64"/>
      <c r="L153" s="64"/>
      <c r="M153" s="64"/>
      <c r="N153" s="64"/>
      <c r="O153" s="337"/>
    </row>
    <row r="154" spans="2:15" s="93" customFormat="1">
      <c r="B154" s="90"/>
      <c r="C154" s="90"/>
      <c r="D154" s="91"/>
      <c r="E154" s="91"/>
      <c r="F154" s="91"/>
      <c r="G154" s="92"/>
      <c r="H154" s="64"/>
      <c r="I154" s="64"/>
      <c r="J154" s="64"/>
      <c r="K154" s="64"/>
      <c r="L154" s="64"/>
      <c r="M154" s="64"/>
      <c r="N154" s="64"/>
      <c r="O154" s="337"/>
    </row>
    <row r="155" spans="2:15" s="93" customFormat="1">
      <c r="B155" s="90"/>
      <c r="C155" s="90"/>
      <c r="D155" s="91"/>
      <c r="E155" s="91"/>
      <c r="F155" s="91"/>
      <c r="G155" s="92"/>
      <c r="H155" s="64"/>
      <c r="I155" s="64"/>
      <c r="J155" s="64"/>
      <c r="K155" s="64"/>
      <c r="L155" s="64"/>
      <c r="M155" s="64"/>
      <c r="N155" s="64"/>
      <c r="O155" s="337"/>
    </row>
    <row r="156" spans="2:15" s="93" customFormat="1">
      <c r="B156" s="90"/>
      <c r="C156" s="90"/>
      <c r="D156" s="91"/>
      <c r="E156" s="91"/>
      <c r="F156" s="91"/>
      <c r="G156" s="92"/>
      <c r="H156" s="64"/>
      <c r="I156" s="64"/>
      <c r="J156" s="64"/>
      <c r="K156" s="64"/>
      <c r="L156" s="64"/>
      <c r="M156" s="64"/>
      <c r="N156" s="64"/>
      <c r="O156" s="337"/>
    </row>
    <row r="157" spans="2:15" s="93" customFormat="1">
      <c r="B157" s="90"/>
      <c r="C157" s="90"/>
      <c r="D157" s="91"/>
      <c r="E157" s="91"/>
      <c r="F157" s="91"/>
      <c r="G157" s="92"/>
      <c r="H157" s="64"/>
      <c r="I157" s="64"/>
      <c r="J157" s="64"/>
      <c r="K157" s="64"/>
      <c r="L157" s="64"/>
      <c r="M157" s="64"/>
      <c r="N157" s="64"/>
      <c r="O157" s="337"/>
    </row>
    <row r="158" spans="2:15" s="93" customFormat="1">
      <c r="B158" s="90"/>
      <c r="C158" s="90"/>
      <c r="D158" s="91"/>
      <c r="E158" s="91"/>
      <c r="F158" s="91"/>
      <c r="G158" s="92"/>
      <c r="H158" s="64"/>
      <c r="I158" s="64"/>
      <c r="J158" s="64"/>
      <c r="K158" s="64"/>
      <c r="L158" s="64"/>
      <c r="M158" s="64"/>
      <c r="N158" s="64"/>
      <c r="O158" s="337"/>
    </row>
    <row r="159" spans="2:15" s="93" customFormat="1">
      <c r="B159" s="90"/>
      <c r="C159" s="90"/>
      <c r="D159" s="91"/>
      <c r="E159" s="91"/>
      <c r="F159" s="91"/>
      <c r="G159" s="92"/>
      <c r="H159" s="64"/>
      <c r="I159" s="64"/>
      <c r="J159" s="64"/>
      <c r="K159" s="64"/>
      <c r="L159" s="64"/>
      <c r="M159" s="64"/>
      <c r="N159" s="64"/>
      <c r="O159" s="337"/>
    </row>
    <row r="160" spans="2:15" s="93" customFormat="1">
      <c r="B160" s="90"/>
      <c r="C160" s="90"/>
      <c r="D160" s="91"/>
      <c r="E160" s="91"/>
      <c r="F160" s="91"/>
      <c r="G160" s="92"/>
      <c r="H160" s="64"/>
      <c r="I160" s="64"/>
      <c r="J160" s="64"/>
      <c r="K160" s="64"/>
      <c r="L160" s="64"/>
      <c r="M160" s="64"/>
      <c r="N160" s="64"/>
      <c r="O160" s="337"/>
    </row>
    <row r="161" spans="2:15" s="93" customFormat="1">
      <c r="B161" s="90"/>
      <c r="C161" s="90"/>
      <c r="D161" s="91"/>
      <c r="E161" s="91"/>
      <c r="F161" s="91"/>
      <c r="G161" s="92"/>
      <c r="H161" s="64"/>
      <c r="I161" s="64"/>
      <c r="J161" s="64"/>
      <c r="K161" s="64"/>
      <c r="L161" s="64"/>
      <c r="M161" s="64"/>
      <c r="N161" s="64"/>
      <c r="O161" s="337"/>
    </row>
    <row r="162" spans="2:15" s="93" customFormat="1">
      <c r="B162" s="90"/>
      <c r="C162" s="90"/>
      <c r="D162" s="91"/>
      <c r="E162" s="91"/>
      <c r="F162" s="91"/>
      <c r="G162" s="92"/>
      <c r="H162" s="64"/>
      <c r="I162" s="64"/>
      <c r="J162" s="64"/>
      <c r="K162" s="64"/>
      <c r="L162" s="64"/>
      <c r="M162" s="64"/>
      <c r="N162" s="64"/>
      <c r="O162" s="337"/>
    </row>
    <row r="163" spans="2:15" s="93" customFormat="1">
      <c r="B163" s="90"/>
      <c r="C163" s="90"/>
      <c r="D163" s="91"/>
      <c r="E163" s="91"/>
      <c r="F163" s="91"/>
      <c r="G163" s="92"/>
      <c r="H163" s="64"/>
      <c r="I163" s="64"/>
      <c r="J163" s="64"/>
      <c r="K163" s="64"/>
      <c r="L163" s="64"/>
      <c r="M163" s="64"/>
      <c r="N163" s="64"/>
      <c r="O163" s="337"/>
    </row>
    <row r="164" spans="2:15" s="93" customFormat="1">
      <c r="B164" s="90"/>
      <c r="C164" s="90"/>
      <c r="D164" s="91"/>
      <c r="E164" s="91"/>
      <c r="F164" s="91"/>
      <c r="G164" s="92"/>
      <c r="H164" s="64"/>
      <c r="I164" s="64"/>
      <c r="J164" s="64"/>
      <c r="K164" s="64"/>
      <c r="L164" s="64"/>
      <c r="M164" s="64"/>
      <c r="N164" s="64"/>
      <c r="O164" s="337"/>
    </row>
    <row r="165" spans="2:15" s="93" customFormat="1">
      <c r="B165" s="90"/>
      <c r="C165" s="90"/>
      <c r="D165" s="91"/>
      <c r="E165" s="91"/>
      <c r="F165" s="91"/>
      <c r="G165" s="92"/>
      <c r="H165" s="64"/>
      <c r="I165" s="64"/>
      <c r="J165" s="64"/>
      <c r="K165" s="64"/>
      <c r="L165" s="64"/>
      <c r="M165" s="64"/>
      <c r="N165" s="64"/>
      <c r="O165" s="337"/>
    </row>
    <row r="166" spans="2:15" s="93" customFormat="1">
      <c r="B166" s="90"/>
      <c r="C166" s="90"/>
      <c r="D166" s="91"/>
      <c r="E166" s="91"/>
      <c r="F166" s="91"/>
      <c r="G166" s="92"/>
      <c r="H166" s="64"/>
      <c r="I166" s="64"/>
      <c r="J166" s="64"/>
      <c r="K166" s="64"/>
      <c r="L166" s="64"/>
      <c r="M166" s="64"/>
      <c r="N166" s="64"/>
      <c r="O166" s="337"/>
    </row>
    <row r="167" spans="2:15" s="93" customFormat="1">
      <c r="B167" s="90"/>
      <c r="C167" s="90"/>
      <c r="D167" s="91"/>
      <c r="E167" s="91"/>
      <c r="F167" s="91"/>
      <c r="G167" s="92"/>
      <c r="H167" s="64"/>
      <c r="I167" s="64"/>
      <c r="J167" s="64"/>
      <c r="K167" s="64"/>
      <c r="L167" s="64"/>
      <c r="M167" s="64"/>
      <c r="N167" s="64"/>
      <c r="O167" s="337"/>
    </row>
    <row r="168" spans="2:15" s="93" customFormat="1">
      <c r="B168" s="94"/>
      <c r="C168" s="94"/>
      <c r="G168" s="64"/>
      <c r="H168" s="64"/>
      <c r="I168" s="64"/>
      <c r="J168" s="64"/>
      <c r="K168" s="64"/>
      <c r="L168" s="64"/>
      <c r="M168" s="64"/>
      <c r="N168" s="64"/>
      <c r="O168" s="337"/>
    </row>
    <row r="169" spans="2:15" s="93" customFormat="1">
      <c r="B169" s="94"/>
      <c r="C169" s="94"/>
      <c r="G169" s="64"/>
      <c r="H169" s="64"/>
      <c r="I169" s="64"/>
      <c r="J169" s="64"/>
      <c r="K169" s="64"/>
      <c r="L169" s="64"/>
      <c r="M169" s="64"/>
      <c r="N169" s="64"/>
      <c r="O169" s="337"/>
    </row>
    <row r="170" spans="2:15" s="93" customFormat="1">
      <c r="B170" s="94"/>
      <c r="C170" s="94"/>
      <c r="G170" s="64"/>
      <c r="H170" s="64"/>
      <c r="I170" s="64"/>
      <c r="J170" s="64"/>
      <c r="K170" s="64"/>
      <c r="L170" s="64"/>
      <c r="M170" s="64"/>
      <c r="N170" s="64"/>
      <c r="O170" s="337"/>
    </row>
    <row r="171" spans="2:15" s="93" customFormat="1">
      <c r="B171" s="94"/>
      <c r="C171" s="94"/>
      <c r="G171" s="64"/>
      <c r="H171" s="64"/>
      <c r="I171" s="64"/>
      <c r="J171" s="64"/>
      <c r="K171" s="64"/>
      <c r="L171" s="64"/>
      <c r="M171" s="64"/>
      <c r="N171" s="64"/>
      <c r="O171" s="337"/>
    </row>
    <row r="172" spans="2:15" s="93" customFormat="1">
      <c r="B172" s="94"/>
      <c r="C172" s="94"/>
      <c r="G172" s="64"/>
      <c r="H172" s="64"/>
      <c r="I172" s="64"/>
      <c r="J172" s="64"/>
      <c r="K172" s="64"/>
      <c r="L172" s="64"/>
      <c r="M172" s="64"/>
      <c r="N172" s="64"/>
      <c r="O172" s="337"/>
    </row>
    <row r="173" spans="2:15" s="93" customFormat="1">
      <c r="B173" s="94"/>
      <c r="C173" s="94"/>
      <c r="G173" s="64"/>
      <c r="H173" s="64"/>
      <c r="I173" s="64"/>
      <c r="J173" s="64"/>
      <c r="K173" s="64"/>
      <c r="L173" s="64"/>
      <c r="M173" s="64"/>
      <c r="N173" s="64"/>
      <c r="O173" s="337"/>
    </row>
    <row r="174" spans="2:15" s="93" customFormat="1">
      <c r="B174" s="94"/>
      <c r="C174" s="94"/>
      <c r="G174" s="64"/>
      <c r="H174" s="64"/>
      <c r="I174" s="64"/>
      <c r="J174" s="64"/>
      <c r="K174" s="64"/>
      <c r="L174" s="64"/>
      <c r="M174" s="64"/>
      <c r="N174" s="64"/>
      <c r="O174" s="337"/>
    </row>
    <row r="175" spans="2:15" s="93" customFormat="1">
      <c r="B175" s="94"/>
      <c r="C175" s="94"/>
      <c r="G175" s="64"/>
      <c r="H175" s="64"/>
      <c r="I175" s="64"/>
      <c r="J175" s="64"/>
      <c r="K175" s="64"/>
      <c r="L175" s="64"/>
      <c r="M175" s="64"/>
      <c r="N175" s="64"/>
      <c r="O175" s="337"/>
    </row>
    <row r="176" spans="2:15" s="93" customFormat="1">
      <c r="B176" s="94"/>
      <c r="C176" s="94"/>
      <c r="G176" s="64"/>
      <c r="H176" s="64"/>
      <c r="I176" s="64"/>
      <c r="J176" s="64"/>
      <c r="K176" s="64"/>
      <c r="L176" s="64"/>
      <c r="M176" s="64"/>
      <c r="N176" s="64"/>
      <c r="O176" s="337"/>
    </row>
    <row r="177" spans="2:15" s="93" customFormat="1">
      <c r="B177" s="94"/>
      <c r="C177" s="94"/>
      <c r="G177" s="64"/>
      <c r="H177" s="64"/>
      <c r="I177" s="64"/>
      <c r="J177" s="64"/>
      <c r="K177" s="64"/>
      <c r="L177" s="64"/>
      <c r="M177" s="64"/>
      <c r="N177" s="64"/>
      <c r="O177" s="337"/>
    </row>
    <row r="178" spans="2:15" s="93" customFormat="1">
      <c r="B178" s="94"/>
      <c r="C178" s="94"/>
      <c r="G178" s="64"/>
      <c r="H178" s="64"/>
      <c r="I178" s="64"/>
      <c r="J178" s="64"/>
      <c r="K178" s="64"/>
      <c r="L178" s="64"/>
      <c r="M178" s="64"/>
      <c r="N178" s="64"/>
      <c r="O178" s="337"/>
    </row>
    <row r="179" spans="2:15" s="93" customFormat="1">
      <c r="B179" s="94"/>
      <c r="C179" s="94"/>
      <c r="G179" s="64"/>
      <c r="H179" s="64"/>
      <c r="I179" s="64"/>
      <c r="J179" s="64"/>
      <c r="K179" s="64"/>
      <c r="L179" s="64"/>
      <c r="M179" s="64"/>
      <c r="N179" s="64"/>
      <c r="O179" s="337"/>
    </row>
    <row r="180" spans="2:15" s="93" customFormat="1">
      <c r="B180" s="94"/>
      <c r="C180" s="94"/>
      <c r="G180" s="64"/>
      <c r="H180" s="64"/>
      <c r="I180" s="64"/>
      <c r="J180" s="64"/>
      <c r="K180" s="64"/>
      <c r="L180" s="64"/>
      <c r="M180" s="64"/>
      <c r="N180" s="64"/>
      <c r="O180" s="337"/>
    </row>
    <row r="181" spans="2:15" s="93" customFormat="1">
      <c r="B181" s="94"/>
      <c r="C181" s="94"/>
      <c r="G181" s="64"/>
      <c r="H181" s="64"/>
      <c r="I181" s="64"/>
      <c r="J181" s="64"/>
      <c r="K181" s="64"/>
      <c r="L181" s="64"/>
      <c r="M181" s="64"/>
      <c r="N181" s="64"/>
      <c r="O181" s="337"/>
    </row>
    <row r="182" spans="2:15" s="93" customFormat="1">
      <c r="B182" s="94"/>
      <c r="C182" s="94"/>
      <c r="G182" s="64"/>
      <c r="H182" s="64"/>
      <c r="I182" s="64"/>
      <c r="J182" s="64"/>
      <c r="K182" s="64"/>
      <c r="L182" s="64"/>
      <c r="M182" s="64"/>
      <c r="N182" s="64"/>
      <c r="O182" s="337"/>
    </row>
    <row r="183" spans="2:15" s="93" customFormat="1">
      <c r="B183" s="94"/>
      <c r="C183" s="94"/>
      <c r="G183" s="64"/>
      <c r="H183" s="64"/>
      <c r="I183" s="64"/>
      <c r="J183" s="64"/>
      <c r="K183" s="64"/>
      <c r="L183" s="64"/>
      <c r="M183" s="64"/>
      <c r="N183" s="64"/>
      <c r="O183" s="337"/>
    </row>
    <row r="184" spans="2:15" s="93" customFormat="1">
      <c r="B184" s="94"/>
      <c r="C184" s="94"/>
      <c r="G184" s="64"/>
      <c r="H184" s="64"/>
      <c r="I184" s="64"/>
      <c r="J184" s="64"/>
      <c r="K184" s="64"/>
      <c r="L184" s="64"/>
      <c r="M184" s="64"/>
      <c r="N184" s="64"/>
      <c r="O184" s="337"/>
    </row>
    <row r="185" spans="2:15" s="93" customFormat="1">
      <c r="B185" s="94"/>
      <c r="C185" s="94"/>
      <c r="G185" s="64"/>
      <c r="H185" s="64"/>
      <c r="I185" s="64"/>
      <c r="J185" s="64"/>
      <c r="K185" s="64"/>
      <c r="L185" s="64"/>
      <c r="M185" s="64"/>
      <c r="N185" s="64"/>
      <c r="O185" s="337"/>
    </row>
    <row r="186" spans="2:15" s="93" customFormat="1">
      <c r="B186" s="94"/>
      <c r="C186" s="94"/>
      <c r="G186" s="64"/>
      <c r="H186" s="64"/>
      <c r="I186" s="64"/>
      <c r="J186" s="64"/>
      <c r="K186" s="64"/>
      <c r="L186" s="64"/>
      <c r="M186" s="64"/>
      <c r="N186" s="64"/>
      <c r="O186" s="337"/>
    </row>
    <row r="187" spans="2:15" s="93" customFormat="1">
      <c r="B187" s="94"/>
      <c r="C187" s="94"/>
      <c r="G187" s="64"/>
      <c r="H187" s="64"/>
      <c r="I187" s="64"/>
      <c r="J187" s="64"/>
      <c r="K187" s="64"/>
      <c r="L187" s="64"/>
      <c r="M187" s="64"/>
      <c r="N187" s="64"/>
      <c r="O187" s="337"/>
    </row>
    <row r="188" spans="2:15" s="93" customFormat="1">
      <c r="B188" s="94"/>
      <c r="C188" s="94"/>
      <c r="G188" s="64"/>
      <c r="H188" s="64"/>
      <c r="I188" s="64"/>
      <c r="J188" s="64"/>
      <c r="K188" s="64"/>
      <c r="L188" s="64"/>
      <c r="M188" s="64"/>
      <c r="N188" s="64"/>
      <c r="O188" s="337"/>
    </row>
    <row r="189" spans="2:15" s="93" customFormat="1">
      <c r="B189" s="94"/>
      <c r="C189" s="94"/>
      <c r="G189" s="64"/>
      <c r="H189" s="64"/>
      <c r="I189" s="64"/>
      <c r="J189" s="64"/>
      <c r="K189" s="64"/>
      <c r="L189" s="64"/>
      <c r="M189" s="64"/>
      <c r="N189" s="64"/>
      <c r="O189" s="337"/>
    </row>
    <row r="190" spans="2:15" s="93" customFormat="1">
      <c r="B190" s="94"/>
      <c r="C190" s="94"/>
      <c r="G190" s="64"/>
      <c r="H190" s="64"/>
      <c r="I190" s="64"/>
      <c r="J190" s="64"/>
      <c r="K190" s="64"/>
      <c r="L190" s="64"/>
      <c r="M190" s="64"/>
      <c r="N190" s="64"/>
      <c r="O190" s="337"/>
    </row>
    <row r="191" spans="2:15" s="93" customFormat="1">
      <c r="B191" s="94"/>
      <c r="C191" s="94"/>
      <c r="G191" s="64"/>
      <c r="H191" s="64"/>
      <c r="I191" s="64"/>
      <c r="J191" s="64"/>
      <c r="K191" s="64"/>
      <c r="L191" s="64"/>
      <c r="M191" s="64"/>
      <c r="N191" s="64"/>
      <c r="O191" s="337"/>
    </row>
    <row r="192" spans="2:15" s="93" customFormat="1">
      <c r="B192" s="94"/>
      <c r="C192" s="94"/>
      <c r="G192" s="64"/>
      <c r="H192" s="64"/>
      <c r="I192" s="64"/>
      <c r="J192" s="64"/>
      <c r="K192" s="64"/>
      <c r="L192" s="64"/>
      <c r="M192" s="64"/>
      <c r="N192" s="64"/>
      <c r="O192" s="337"/>
    </row>
    <row r="193" spans="2:15" s="93" customFormat="1">
      <c r="B193" s="94"/>
      <c r="C193" s="94"/>
      <c r="G193" s="64"/>
      <c r="H193" s="64"/>
      <c r="I193" s="64"/>
      <c r="J193" s="64"/>
      <c r="K193" s="64"/>
      <c r="L193" s="64"/>
      <c r="M193" s="64"/>
      <c r="N193" s="64"/>
      <c r="O193" s="337"/>
    </row>
    <row r="194" spans="2:15" s="93" customFormat="1">
      <c r="B194" s="94"/>
      <c r="C194" s="94"/>
      <c r="G194" s="64"/>
      <c r="H194" s="64"/>
      <c r="I194" s="64"/>
      <c r="J194" s="64"/>
      <c r="K194" s="64"/>
      <c r="L194" s="64"/>
      <c r="M194" s="64"/>
      <c r="N194" s="64"/>
      <c r="O194" s="337"/>
    </row>
    <row r="195" spans="2:15" s="93" customFormat="1">
      <c r="B195" s="94"/>
      <c r="C195" s="94"/>
      <c r="G195" s="64"/>
      <c r="H195" s="64"/>
      <c r="I195" s="64"/>
      <c r="J195" s="64"/>
      <c r="K195" s="64"/>
      <c r="L195" s="64"/>
      <c r="M195" s="64"/>
      <c r="N195" s="64"/>
      <c r="O195" s="337"/>
    </row>
    <row r="196" spans="2:15" s="93" customFormat="1">
      <c r="B196" s="94"/>
      <c r="C196" s="94"/>
      <c r="G196" s="64"/>
      <c r="H196" s="64"/>
      <c r="I196" s="64"/>
      <c r="J196" s="64"/>
      <c r="K196" s="64"/>
      <c r="L196" s="64"/>
      <c r="M196" s="64"/>
      <c r="N196" s="64"/>
      <c r="O196" s="337"/>
    </row>
    <row r="197" spans="2:15" s="93" customFormat="1">
      <c r="B197" s="94"/>
      <c r="G197" s="64"/>
      <c r="H197" s="64"/>
      <c r="I197" s="64"/>
      <c r="J197" s="64"/>
      <c r="K197" s="64"/>
      <c r="L197" s="64"/>
      <c r="M197" s="64"/>
      <c r="N197" s="64"/>
      <c r="O197" s="337"/>
    </row>
    <row r="198" spans="2:15" s="93" customFormat="1">
      <c r="B198" s="94"/>
      <c r="G198" s="64"/>
      <c r="H198" s="64"/>
      <c r="I198" s="64"/>
      <c r="J198" s="64"/>
      <c r="K198" s="64"/>
      <c r="L198" s="64"/>
      <c r="M198" s="64"/>
      <c r="N198" s="64"/>
      <c r="O198" s="337"/>
    </row>
    <row r="199" spans="2:15" s="93" customFormat="1">
      <c r="B199" s="94"/>
      <c r="G199" s="64"/>
      <c r="H199" s="64"/>
      <c r="I199" s="64"/>
      <c r="J199" s="64"/>
      <c r="K199" s="64"/>
      <c r="L199" s="64"/>
      <c r="M199" s="64"/>
      <c r="N199" s="64"/>
      <c r="O199" s="337"/>
    </row>
    <row r="200" spans="2:15" s="93" customFormat="1">
      <c r="B200" s="94"/>
      <c r="G200" s="64"/>
      <c r="H200" s="64"/>
      <c r="I200" s="64"/>
      <c r="J200" s="64"/>
      <c r="K200" s="64"/>
      <c r="L200" s="64"/>
      <c r="M200" s="64"/>
      <c r="N200" s="64"/>
      <c r="O200" s="337"/>
    </row>
    <row r="201" spans="2:15" s="93" customFormat="1">
      <c r="B201" s="94"/>
      <c r="G201" s="64"/>
      <c r="H201" s="64"/>
      <c r="I201" s="64"/>
      <c r="J201" s="64"/>
      <c r="K201" s="64"/>
      <c r="L201" s="64"/>
      <c r="M201" s="64"/>
      <c r="N201" s="64"/>
      <c r="O201" s="337"/>
    </row>
    <row r="202" spans="2:15" s="93" customFormat="1">
      <c r="B202" s="94"/>
      <c r="G202" s="64"/>
      <c r="H202" s="64"/>
      <c r="I202" s="64"/>
      <c r="J202" s="64"/>
      <c r="K202" s="64"/>
      <c r="L202" s="64"/>
      <c r="M202" s="64"/>
      <c r="N202" s="64"/>
      <c r="O202" s="337"/>
    </row>
    <row r="203" spans="2:15" s="93" customFormat="1">
      <c r="B203" s="94"/>
      <c r="G203" s="64"/>
      <c r="H203" s="64"/>
      <c r="I203" s="64"/>
      <c r="J203" s="64"/>
      <c r="K203" s="64"/>
      <c r="L203" s="64"/>
      <c r="M203" s="64"/>
      <c r="N203" s="64"/>
      <c r="O203" s="337"/>
    </row>
    <row r="204" spans="2:15" s="93" customFormat="1">
      <c r="B204" s="94"/>
      <c r="G204" s="64"/>
      <c r="H204" s="64"/>
      <c r="I204" s="64"/>
      <c r="J204" s="64"/>
      <c r="K204" s="64"/>
      <c r="L204" s="64"/>
      <c r="M204" s="64"/>
      <c r="N204" s="64"/>
      <c r="O204" s="337"/>
    </row>
    <row r="205" spans="2:15" s="93" customFormat="1">
      <c r="B205" s="94"/>
      <c r="G205" s="64"/>
      <c r="H205" s="64"/>
      <c r="I205" s="64"/>
      <c r="J205" s="64"/>
      <c r="K205" s="64"/>
      <c r="L205" s="64"/>
      <c r="M205" s="64"/>
      <c r="N205" s="64"/>
      <c r="O205" s="337"/>
    </row>
    <row r="206" spans="2:15" s="93" customFormat="1">
      <c r="B206" s="94"/>
      <c r="G206" s="64"/>
      <c r="H206" s="64"/>
      <c r="I206" s="64"/>
      <c r="J206" s="64"/>
      <c r="K206" s="64"/>
      <c r="L206" s="64"/>
      <c r="M206" s="64"/>
      <c r="N206" s="64"/>
      <c r="O206" s="337"/>
    </row>
    <row r="207" spans="2:15" s="93" customFormat="1">
      <c r="B207" s="94"/>
      <c r="G207" s="64"/>
      <c r="H207" s="64"/>
      <c r="I207" s="64"/>
      <c r="J207" s="64"/>
      <c r="K207" s="64"/>
      <c r="L207" s="64"/>
      <c r="M207" s="64"/>
      <c r="N207" s="64"/>
      <c r="O207" s="337"/>
    </row>
    <row r="208" spans="2:15" s="93" customFormat="1">
      <c r="B208" s="94"/>
      <c r="G208" s="64"/>
      <c r="H208" s="64"/>
      <c r="I208" s="64"/>
      <c r="J208" s="64"/>
      <c r="K208" s="64"/>
      <c r="L208" s="64"/>
      <c r="M208" s="64"/>
      <c r="N208" s="64"/>
      <c r="O208" s="337"/>
    </row>
    <row r="209" spans="2:15" s="93" customFormat="1">
      <c r="B209" s="94"/>
      <c r="G209" s="64"/>
      <c r="H209" s="64"/>
      <c r="I209" s="64"/>
      <c r="J209" s="64"/>
      <c r="K209" s="64"/>
      <c r="L209" s="64"/>
      <c r="M209" s="64"/>
      <c r="N209" s="64"/>
      <c r="O209" s="337"/>
    </row>
    <row r="210" spans="2:15" s="93" customFormat="1">
      <c r="B210" s="94"/>
      <c r="G210" s="64"/>
      <c r="H210" s="64"/>
      <c r="I210" s="64"/>
      <c r="J210" s="64"/>
      <c r="K210" s="64"/>
      <c r="L210" s="64"/>
      <c r="M210" s="64"/>
      <c r="N210" s="64"/>
      <c r="O210" s="337"/>
    </row>
    <row r="211" spans="2:15" s="93" customFormat="1">
      <c r="B211" s="94"/>
      <c r="G211" s="64"/>
      <c r="H211" s="64"/>
      <c r="I211" s="64"/>
      <c r="J211" s="64"/>
      <c r="K211" s="64"/>
      <c r="L211" s="64"/>
      <c r="M211" s="64"/>
      <c r="N211" s="64"/>
      <c r="O211" s="337"/>
    </row>
    <row r="212" spans="2:15" s="93" customFormat="1">
      <c r="B212" s="94"/>
      <c r="G212" s="64"/>
      <c r="H212" s="64"/>
      <c r="I212" s="64"/>
      <c r="J212" s="64"/>
      <c r="K212" s="64"/>
      <c r="L212" s="64"/>
      <c r="M212" s="64"/>
      <c r="N212" s="64"/>
      <c r="O212" s="337"/>
    </row>
    <row r="213" spans="2:15" s="93" customFormat="1">
      <c r="B213" s="94"/>
      <c r="G213" s="64"/>
      <c r="H213" s="64"/>
      <c r="I213" s="64"/>
      <c r="J213" s="64"/>
      <c r="K213" s="64"/>
      <c r="L213" s="64"/>
      <c r="M213" s="64"/>
      <c r="N213" s="64"/>
      <c r="O213" s="337"/>
    </row>
    <row r="214" spans="2:15" s="93" customFormat="1">
      <c r="B214" s="94"/>
      <c r="G214" s="64"/>
      <c r="H214" s="64"/>
      <c r="I214" s="64"/>
      <c r="J214" s="64"/>
      <c r="K214" s="64"/>
      <c r="L214" s="64"/>
      <c r="M214" s="64"/>
      <c r="N214" s="64"/>
      <c r="O214" s="337"/>
    </row>
    <row r="215" spans="2:15" s="93" customFormat="1">
      <c r="B215" s="94"/>
      <c r="G215" s="64"/>
      <c r="H215" s="64"/>
      <c r="I215" s="64"/>
      <c r="J215" s="64"/>
      <c r="K215" s="64"/>
      <c r="L215" s="64"/>
      <c r="M215" s="64"/>
      <c r="N215" s="64"/>
      <c r="O215" s="337"/>
    </row>
    <row r="216" spans="2:15" s="93" customFormat="1">
      <c r="B216" s="94"/>
      <c r="G216" s="64"/>
      <c r="H216" s="64"/>
      <c r="I216" s="64"/>
      <c r="J216" s="64"/>
      <c r="K216" s="64"/>
      <c r="L216" s="64"/>
      <c r="M216" s="64"/>
      <c r="N216" s="64"/>
      <c r="O216" s="337"/>
    </row>
    <row r="217" spans="2:15" s="93" customFormat="1">
      <c r="B217" s="94"/>
      <c r="G217" s="64"/>
      <c r="H217" s="64"/>
      <c r="I217" s="64"/>
      <c r="J217" s="64"/>
      <c r="K217" s="64"/>
      <c r="L217" s="64"/>
      <c r="M217" s="64"/>
      <c r="N217" s="64"/>
      <c r="O217" s="337"/>
    </row>
    <row r="218" spans="2:15" s="93" customFormat="1">
      <c r="B218" s="94"/>
      <c r="G218" s="64"/>
      <c r="H218" s="64"/>
      <c r="I218" s="64"/>
      <c r="J218" s="64"/>
      <c r="K218" s="64"/>
      <c r="L218" s="64"/>
      <c r="M218" s="64"/>
      <c r="N218" s="64"/>
      <c r="O218" s="337"/>
    </row>
    <row r="219" spans="2:15" s="93" customFormat="1">
      <c r="B219" s="94"/>
      <c r="G219" s="64"/>
      <c r="H219" s="64"/>
      <c r="I219" s="64"/>
      <c r="J219" s="64"/>
      <c r="K219" s="64"/>
      <c r="L219" s="64"/>
      <c r="M219" s="64"/>
      <c r="N219" s="64"/>
      <c r="O219" s="337"/>
    </row>
    <row r="220" spans="2:15" s="93" customFormat="1">
      <c r="B220" s="94"/>
      <c r="G220" s="64"/>
      <c r="H220" s="64"/>
      <c r="I220" s="64"/>
      <c r="J220" s="64"/>
      <c r="K220" s="64"/>
      <c r="L220" s="64"/>
      <c r="M220" s="64"/>
      <c r="N220" s="64"/>
      <c r="O220" s="337"/>
    </row>
    <row r="221" spans="2:15" s="93" customFormat="1">
      <c r="B221" s="94"/>
      <c r="G221" s="64"/>
      <c r="H221" s="64"/>
      <c r="I221" s="64"/>
      <c r="J221" s="64"/>
      <c r="K221" s="64"/>
      <c r="L221" s="64"/>
      <c r="M221" s="64"/>
      <c r="N221" s="64"/>
      <c r="O221" s="337"/>
    </row>
    <row r="222" spans="2:15" s="93" customFormat="1">
      <c r="B222" s="94"/>
      <c r="G222" s="64"/>
      <c r="H222" s="64"/>
      <c r="I222" s="64"/>
      <c r="J222" s="64"/>
      <c r="K222" s="64"/>
      <c r="L222" s="64"/>
      <c r="M222" s="64"/>
      <c r="N222" s="64"/>
      <c r="O222" s="337"/>
    </row>
    <row r="223" spans="2:15" s="93" customFormat="1">
      <c r="B223" s="94"/>
      <c r="G223" s="64"/>
      <c r="H223" s="64"/>
      <c r="I223" s="64"/>
      <c r="J223" s="64"/>
      <c r="K223" s="64"/>
      <c r="L223" s="64"/>
      <c r="M223" s="64"/>
      <c r="N223" s="64"/>
      <c r="O223" s="337"/>
    </row>
    <row r="224" spans="2:15" s="93" customFormat="1">
      <c r="B224" s="94"/>
      <c r="G224" s="64"/>
      <c r="H224" s="64"/>
      <c r="I224" s="64"/>
      <c r="J224" s="64"/>
      <c r="K224" s="64"/>
      <c r="L224" s="64"/>
      <c r="M224" s="64"/>
      <c r="N224" s="64"/>
      <c r="O224" s="337"/>
    </row>
    <row r="225" spans="2:15" s="93" customFormat="1">
      <c r="B225" s="94"/>
      <c r="G225" s="64"/>
      <c r="H225" s="64"/>
      <c r="I225" s="64"/>
      <c r="J225" s="64"/>
      <c r="K225" s="64"/>
      <c r="L225" s="64"/>
      <c r="M225" s="64"/>
      <c r="N225" s="64"/>
      <c r="O225" s="337"/>
    </row>
    <row r="226" spans="2:15" s="93" customFormat="1">
      <c r="B226" s="94"/>
      <c r="G226" s="64"/>
      <c r="H226" s="64"/>
      <c r="I226" s="64"/>
      <c r="J226" s="64"/>
      <c r="K226" s="64"/>
      <c r="L226" s="64"/>
      <c r="M226" s="64"/>
      <c r="N226" s="64"/>
      <c r="O226" s="337"/>
    </row>
    <row r="227" spans="2:15" s="93" customFormat="1">
      <c r="B227" s="94"/>
      <c r="G227" s="64"/>
      <c r="H227" s="64"/>
      <c r="I227" s="64"/>
      <c r="J227" s="64"/>
      <c r="K227" s="64"/>
      <c r="L227" s="64"/>
      <c r="M227" s="64"/>
      <c r="N227" s="64"/>
      <c r="O227" s="337"/>
    </row>
    <row r="228" spans="2:15" s="93" customFormat="1">
      <c r="B228" s="94"/>
      <c r="G228" s="64"/>
      <c r="H228" s="64"/>
      <c r="I228" s="64"/>
      <c r="J228" s="64"/>
      <c r="K228" s="64"/>
      <c r="L228" s="64"/>
      <c r="M228" s="64"/>
      <c r="N228" s="64"/>
      <c r="O228" s="337"/>
    </row>
    <row r="229" spans="2:15" s="93" customFormat="1">
      <c r="B229" s="94"/>
      <c r="G229" s="64"/>
      <c r="H229" s="64"/>
      <c r="I229" s="64"/>
      <c r="J229" s="64"/>
      <c r="K229" s="64"/>
      <c r="L229" s="64"/>
      <c r="M229" s="64"/>
      <c r="N229" s="64"/>
      <c r="O229" s="337"/>
    </row>
    <row r="230" spans="2:15" s="93" customFormat="1">
      <c r="B230" s="94"/>
      <c r="G230" s="64"/>
      <c r="H230" s="64"/>
      <c r="I230" s="64"/>
      <c r="J230" s="64"/>
      <c r="K230" s="64"/>
      <c r="L230" s="64"/>
      <c r="M230" s="64"/>
      <c r="N230" s="64"/>
      <c r="O230" s="337"/>
    </row>
    <row r="231" spans="2:15" s="93" customFormat="1">
      <c r="B231" s="94"/>
      <c r="G231" s="64"/>
      <c r="H231" s="64"/>
      <c r="I231" s="64"/>
      <c r="J231" s="64"/>
      <c r="K231" s="64"/>
      <c r="L231" s="64"/>
      <c r="M231" s="64"/>
      <c r="N231" s="64"/>
      <c r="O231" s="337"/>
    </row>
    <row r="232" spans="2:15" s="93" customFormat="1">
      <c r="B232" s="94"/>
      <c r="G232" s="64"/>
      <c r="H232" s="64"/>
      <c r="I232" s="64"/>
      <c r="J232" s="64"/>
      <c r="K232" s="64"/>
      <c r="L232" s="64"/>
      <c r="M232" s="64"/>
      <c r="N232" s="64"/>
      <c r="O232" s="337"/>
    </row>
    <row r="233" spans="2:15" s="93" customFormat="1">
      <c r="B233" s="94"/>
      <c r="G233" s="64"/>
      <c r="H233" s="64"/>
      <c r="I233" s="64"/>
      <c r="J233" s="64"/>
      <c r="K233" s="64"/>
      <c r="L233" s="64"/>
      <c r="M233" s="64"/>
      <c r="N233" s="64"/>
      <c r="O233" s="337"/>
    </row>
    <row r="234" spans="2:15" s="93" customFormat="1">
      <c r="B234" s="94"/>
      <c r="G234" s="64"/>
      <c r="H234" s="64"/>
      <c r="I234" s="64"/>
      <c r="J234" s="64"/>
      <c r="K234" s="64"/>
      <c r="L234" s="64"/>
      <c r="M234" s="64"/>
      <c r="N234" s="64"/>
      <c r="O234" s="337"/>
    </row>
    <row r="235" spans="2:15" s="93" customFormat="1">
      <c r="B235" s="94"/>
      <c r="G235" s="64"/>
      <c r="H235" s="64"/>
      <c r="I235" s="64"/>
      <c r="J235" s="64"/>
      <c r="K235" s="64"/>
      <c r="L235" s="64"/>
      <c r="M235" s="64"/>
      <c r="N235" s="64"/>
      <c r="O235" s="337"/>
    </row>
    <row r="236" spans="2:15" s="93" customFormat="1">
      <c r="B236" s="94"/>
      <c r="G236" s="64"/>
      <c r="H236" s="64"/>
      <c r="I236" s="64"/>
      <c r="J236" s="64"/>
      <c r="K236" s="64"/>
      <c r="L236" s="64"/>
      <c r="M236" s="64"/>
      <c r="N236" s="64"/>
      <c r="O236" s="337"/>
    </row>
    <row r="237" spans="2:15" s="93" customFormat="1">
      <c r="B237" s="94"/>
      <c r="G237" s="64"/>
      <c r="H237" s="64"/>
      <c r="I237" s="64"/>
      <c r="J237" s="64"/>
      <c r="K237" s="64"/>
      <c r="L237" s="64"/>
      <c r="M237" s="64"/>
      <c r="N237" s="64"/>
      <c r="O237" s="337"/>
    </row>
    <row r="238" spans="2:15" s="93" customFormat="1">
      <c r="B238" s="94"/>
      <c r="G238" s="64"/>
      <c r="H238" s="64"/>
      <c r="I238" s="64"/>
      <c r="J238" s="64"/>
      <c r="K238" s="64"/>
      <c r="L238" s="64"/>
      <c r="M238" s="64"/>
      <c r="N238" s="64"/>
      <c r="O238" s="337"/>
    </row>
    <row r="239" spans="2:15" s="93" customFormat="1">
      <c r="B239" s="94"/>
      <c r="G239" s="64"/>
      <c r="H239" s="64"/>
      <c r="I239" s="64"/>
      <c r="J239" s="64"/>
      <c r="K239" s="64"/>
      <c r="L239" s="64"/>
      <c r="M239" s="64"/>
      <c r="N239" s="64"/>
      <c r="O239" s="337"/>
    </row>
    <row r="240" spans="2:15" s="93" customFormat="1">
      <c r="B240" s="94"/>
      <c r="G240" s="64"/>
      <c r="H240" s="64"/>
      <c r="I240" s="64"/>
      <c r="J240" s="64"/>
      <c r="K240" s="64"/>
      <c r="L240" s="64"/>
      <c r="M240" s="64"/>
      <c r="N240" s="64"/>
      <c r="O240" s="337"/>
    </row>
    <row r="241" spans="2:15" s="93" customFormat="1">
      <c r="B241" s="94"/>
      <c r="G241" s="64"/>
      <c r="H241" s="64"/>
      <c r="I241" s="64"/>
      <c r="J241" s="64"/>
      <c r="K241" s="64"/>
      <c r="L241" s="64"/>
      <c r="M241" s="64"/>
      <c r="N241" s="64"/>
      <c r="O241" s="337"/>
    </row>
    <row r="242" spans="2:15" s="93" customFormat="1">
      <c r="B242" s="94"/>
      <c r="G242" s="64"/>
      <c r="H242" s="64"/>
      <c r="I242" s="64"/>
      <c r="J242" s="64"/>
      <c r="K242" s="64"/>
      <c r="L242" s="64"/>
      <c r="M242" s="64"/>
      <c r="N242" s="64"/>
      <c r="O242" s="337"/>
    </row>
    <row r="243" spans="2:15" s="93" customFormat="1">
      <c r="B243" s="94"/>
      <c r="G243" s="64"/>
      <c r="H243" s="64"/>
      <c r="I243" s="64"/>
      <c r="J243" s="64"/>
      <c r="K243" s="64"/>
      <c r="L243" s="64"/>
      <c r="M243" s="64"/>
      <c r="N243" s="64"/>
      <c r="O243" s="337"/>
    </row>
    <row r="244" spans="2:15" s="93" customFormat="1">
      <c r="B244" s="94"/>
      <c r="G244" s="64"/>
      <c r="H244" s="64"/>
      <c r="I244" s="64"/>
      <c r="J244" s="64"/>
      <c r="K244" s="64"/>
      <c r="L244" s="64"/>
      <c r="M244" s="64"/>
      <c r="N244" s="64"/>
      <c r="O244" s="337"/>
    </row>
    <row r="245" spans="2:15" s="93" customFormat="1">
      <c r="B245" s="94"/>
      <c r="G245" s="64"/>
      <c r="H245" s="64"/>
      <c r="I245" s="64"/>
      <c r="J245" s="64"/>
      <c r="K245" s="64"/>
      <c r="L245" s="64"/>
      <c r="M245" s="64"/>
      <c r="N245" s="64"/>
      <c r="O245" s="337"/>
    </row>
    <row r="246" spans="2:15" s="93" customFormat="1">
      <c r="B246" s="94"/>
      <c r="G246" s="64"/>
      <c r="H246" s="64"/>
      <c r="I246" s="64"/>
      <c r="J246" s="64"/>
      <c r="K246" s="64"/>
      <c r="L246" s="64"/>
      <c r="M246" s="64"/>
      <c r="N246" s="64"/>
      <c r="O246" s="337"/>
    </row>
    <row r="247" spans="2:15" s="93" customFormat="1">
      <c r="B247" s="94"/>
      <c r="G247" s="64"/>
      <c r="H247" s="64"/>
      <c r="I247" s="64"/>
      <c r="J247" s="64"/>
      <c r="K247" s="64"/>
      <c r="L247" s="64"/>
      <c r="M247" s="64"/>
      <c r="N247" s="64"/>
      <c r="O247" s="337"/>
    </row>
    <row r="248" spans="2:15" s="93" customFormat="1">
      <c r="B248" s="94"/>
      <c r="G248" s="64"/>
      <c r="H248" s="64"/>
      <c r="I248" s="64"/>
      <c r="J248" s="64"/>
      <c r="K248" s="64"/>
      <c r="L248" s="64"/>
      <c r="M248" s="64"/>
      <c r="N248" s="64"/>
      <c r="O248" s="337"/>
    </row>
    <row r="249" spans="2:15" s="93" customFormat="1">
      <c r="B249" s="94"/>
      <c r="G249" s="64"/>
      <c r="H249" s="64"/>
      <c r="I249" s="64"/>
      <c r="J249" s="64"/>
      <c r="K249" s="64"/>
      <c r="L249" s="64"/>
      <c r="M249" s="64"/>
      <c r="N249" s="64"/>
      <c r="O249" s="337"/>
    </row>
    <row r="250" spans="2:15" s="93" customFormat="1">
      <c r="B250" s="94"/>
      <c r="G250" s="64"/>
      <c r="H250" s="64"/>
      <c r="I250" s="64"/>
      <c r="J250" s="64"/>
      <c r="K250" s="64"/>
      <c r="L250" s="64"/>
      <c r="M250" s="64"/>
      <c r="N250" s="64"/>
      <c r="O250" s="337"/>
    </row>
    <row r="251" spans="2:15" s="93" customFormat="1">
      <c r="B251" s="94"/>
      <c r="G251" s="64"/>
      <c r="H251" s="64"/>
      <c r="I251" s="64"/>
      <c r="J251" s="64"/>
      <c r="K251" s="64"/>
      <c r="L251" s="64"/>
      <c r="M251" s="64"/>
      <c r="N251" s="64"/>
      <c r="O251" s="337"/>
    </row>
    <row r="252" spans="2:15" s="93" customFormat="1">
      <c r="B252" s="94"/>
      <c r="G252" s="64"/>
      <c r="H252" s="64"/>
      <c r="I252" s="64"/>
      <c r="J252" s="64"/>
      <c r="K252" s="64"/>
      <c r="L252" s="64"/>
      <c r="M252" s="64"/>
      <c r="N252" s="64"/>
      <c r="O252" s="337"/>
    </row>
    <row r="253" spans="2:15" s="93" customFormat="1">
      <c r="B253" s="94"/>
      <c r="G253" s="64"/>
      <c r="H253" s="64"/>
      <c r="I253" s="64"/>
      <c r="J253" s="64"/>
      <c r="K253" s="64"/>
      <c r="L253" s="64"/>
      <c r="M253" s="64"/>
      <c r="N253" s="64"/>
      <c r="O253" s="337"/>
    </row>
    <row r="254" spans="2:15" s="93" customFormat="1">
      <c r="B254" s="94"/>
      <c r="G254" s="64"/>
      <c r="H254" s="64"/>
      <c r="I254" s="64"/>
      <c r="J254" s="64"/>
      <c r="K254" s="64"/>
      <c r="L254" s="64"/>
      <c r="M254" s="64"/>
      <c r="N254" s="64"/>
      <c r="O254" s="337"/>
    </row>
    <row r="255" spans="2:15" s="93" customFormat="1">
      <c r="B255" s="94"/>
      <c r="G255" s="64"/>
      <c r="H255" s="64"/>
      <c r="I255" s="64"/>
      <c r="J255" s="64"/>
      <c r="K255" s="64"/>
      <c r="L255" s="64"/>
      <c r="M255" s="64"/>
      <c r="N255" s="64"/>
      <c r="O255" s="337"/>
    </row>
    <row r="256" spans="2:15" s="93" customFormat="1">
      <c r="B256" s="94"/>
      <c r="G256" s="64"/>
      <c r="H256" s="64"/>
      <c r="I256" s="64"/>
      <c r="J256" s="64"/>
      <c r="K256" s="64"/>
      <c r="L256" s="64"/>
      <c r="M256" s="64"/>
      <c r="N256" s="64"/>
      <c r="O256" s="337"/>
    </row>
    <row r="257" spans="2:15" s="93" customFormat="1">
      <c r="B257" s="94"/>
      <c r="G257" s="64"/>
      <c r="H257" s="64"/>
      <c r="I257" s="64"/>
      <c r="J257" s="64"/>
      <c r="K257" s="64"/>
      <c r="L257" s="64"/>
      <c r="M257" s="64"/>
      <c r="N257" s="64"/>
      <c r="O257" s="337"/>
    </row>
    <row r="258" spans="2:15" s="93" customFormat="1">
      <c r="B258" s="94"/>
      <c r="G258" s="64"/>
      <c r="H258" s="64"/>
      <c r="I258" s="64"/>
      <c r="J258" s="64"/>
      <c r="K258" s="64"/>
      <c r="L258" s="64"/>
      <c r="M258" s="64"/>
      <c r="N258" s="64"/>
      <c r="O258" s="337"/>
    </row>
    <row r="259" spans="2:15" s="93" customFormat="1">
      <c r="B259" s="94"/>
      <c r="G259" s="64"/>
      <c r="H259" s="64"/>
      <c r="I259" s="64"/>
      <c r="J259" s="64"/>
      <c r="K259" s="64"/>
      <c r="L259" s="64"/>
      <c r="M259" s="64"/>
      <c r="N259" s="64"/>
      <c r="O259" s="337"/>
    </row>
    <row r="260" spans="2:15" s="93" customFormat="1">
      <c r="B260" s="94"/>
      <c r="G260" s="64"/>
      <c r="H260" s="64"/>
      <c r="I260" s="64"/>
      <c r="J260" s="64"/>
      <c r="K260" s="64"/>
      <c r="L260" s="64"/>
      <c r="M260" s="64"/>
      <c r="N260" s="64"/>
      <c r="O260" s="337"/>
    </row>
    <row r="261" spans="2:15" s="93" customFormat="1">
      <c r="B261" s="94"/>
      <c r="G261" s="64"/>
      <c r="H261" s="64"/>
      <c r="I261" s="64"/>
      <c r="J261" s="64"/>
      <c r="K261" s="64"/>
      <c r="L261" s="64"/>
      <c r="M261" s="64"/>
      <c r="N261" s="64"/>
      <c r="O261" s="337"/>
    </row>
    <row r="262" spans="2:15" s="93" customFormat="1">
      <c r="B262" s="94"/>
      <c r="G262" s="64"/>
      <c r="H262" s="64"/>
      <c r="I262" s="64"/>
      <c r="J262" s="64"/>
      <c r="K262" s="64"/>
      <c r="L262" s="64"/>
      <c r="M262" s="64"/>
      <c r="N262" s="64"/>
      <c r="O262" s="337"/>
    </row>
    <row r="263" spans="2:15" s="93" customFormat="1">
      <c r="B263" s="94"/>
      <c r="G263" s="64"/>
      <c r="H263" s="64"/>
      <c r="I263" s="64"/>
      <c r="J263" s="64"/>
      <c r="K263" s="64"/>
      <c r="L263" s="64"/>
      <c r="M263" s="64"/>
      <c r="N263" s="64"/>
      <c r="O263" s="337"/>
    </row>
    <row r="264" spans="2:15" s="93" customFormat="1">
      <c r="B264" s="94"/>
      <c r="G264" s="64"/>
      <c r="H264" s="64"/>
      <c r="I264" s="64"/>
      <c r="J264" s="64"/>
      <c r="K264" s="64"/>
      <c r="L264" s="64"/>
      <c r="M264" s="64"/>
      <c r="N264" s="64"/>
      <c r="O264" s="337"/>
    </row>
    <row r="265" spans="2:15" s="93" customFormat="1">
      <c r="B265" s="94"/>
      <c r="G265" s="64"/>
      <c r="H265" s="64"/>
      <c r="I265" s="64"/>
      <c r="J265" s="64"/>
      <c r="K265" s="64"/>
      <c r="L265" s="64"/>
      <c r="M265" s="64"/>
      <c r="N265" s="64"/>
      <c r="O265" s="337"/>
    </row>
    <row r="266" spans="2:15" s="93" customFormat="1">
      <c r="B266" s="94"/>
      <c r="G266" s="64"/>
      <c r="H266" s="64"/>
      <c r="I266" s="64"/>
      <c r="J266" s="64"/>
      <c r="K266" s="64"/>
      <c r="L266" s="64"/>
      <c r="M266" s="64"/>
      <c r="N266" s="64"/>
      <c r="O266" s="337"/>
    </row>
    <row r="267" spans="2:15" s="93" customFormat="1">
      <c r="B267" s="94"/>
      <c r="G267" s="64"/>
      <c r="H267" s="64"/>
      <c r="I267" s="64"/>
      <c r="J267" s="64"/>
      <c r="K267" s="64"/>
      <c r="L267" s="64"/>
      <c r="M267" s="64"/>
      <c r="N267" s="64"/>
      <c r="O267" s="337"/>
    </row>
    <row r="268" spans="2:15" s="93" customFormat="1">
      <c r="B268" s="94"/>
      <c r="G268" s="64"/>
      <c r="H268" s="64"/>
      <c r="I268" s="64"/>
      <c r="J268" s="64"/>
      <c r="K268" s="64"/>
      <c r="L268" s="64"/>
      <c r="M268" s="64"/>
      <c r="N268" s="64"/>
      <c r="O268" s="337"/>
    </row>
    <row r="269" spans="2:15" s="93" customFormat="1">
      <c r="B269" s="94"/>
      <c r="G269" s="64"/>
      <c r="H269" s="64"/>
      <c r="I269" s="64"/>
      <c r="J269" s="64"/>
      <c r="K269" s="64"/>
      <c r="L269" s="64"/>
      <c r="M269" s="64"/>
      <c r="N269" s="64"/>
      <c r="O269" s="337"/>
    </row>
    <row r="270" spans="2:15" s="93" customFormat="1">
      <c r="B270" s="94"/>
      <c r="G270" s="64"/>
      <c r="H270" s="64"/>
      <c r="I270" s="64"/>
      <c r="J270" s="64"/>
      <c r="K270" s="64"/>
      <c r="L270" s="64"/>
      <c r="M270" s="64"/>
      <c r="N270" s="64"/>
      <c r="O270" s="337"/>
    </row>
    <row r="271" spans="2:15" s="93" customFormat="1">
      <c r="B271" s="94"/>
      <c r="G271" s="64"/>
      <c r="H271" s="64"/>
      <c r="I271" s="64"/>
      <c r="J271" s="64"/>
      <c r="K271" s="64"/>
      <c r="L271" s="64"/>
      <c r="M271" s="64"/>
      <c r="N271" s="64"/>
      <c r="O271" s="337"/>
    </row>
    <row r="272" spans="2:15" s="93" customFormat="1">
      <c r="B272" s="94"/>
      <c r="G272" s="64"/>
      <c r="H272" s="64"/>
      <c r="I272" s="64"/>
      <c r="J272" s="64"/>
      <c r="K272" s="64"/>
      <c r="L272" s="64"/>
      <c r="M272" s="64"/>
      <c r="N272" s="64"/>
      <c r="O272" s="337"/>
    </row>
    <row r="273" spans="2:15" s="93" customFormat="1">
      <c r="B273" s="94"/>
      <c r="G273" s="64"/>
      <c r="H273" s="64"/>
      <c r="I273" s="64"/>
      <c r="J273" s="64"/>
      <c r="K273" s="64"/>
      <c r="L273" s="64"/>
      <c r="M273" s="64"/>
      <c r="N273" s="64"/>
      <c r="O273" s="337"/>
    </row>
    <row r="274" spans="2:15" s="93" customFormat="1">
      <c r="B274" s="94"/>
      <c r="G274" s="64"/>
      <c r="H274" s="64"/>
      <c r="I274" s="64"/>
      <c r="J274" s="64"/>
      <c r="K274" s="64"/>
      <c r="L274" s="64"/>
      <c r="M274" s="64"/>
      <c r="N274" s="64"/>
      <c r="O274" s="337"/>
    </row>
    <row r="275" spans="2:15" s="93" customFormat="1">
      <c r="B275" s="94"/>
      <c r="G275" s="64"/>
      <c r="H275" s="64"/>
      <c r="I275" s="64"/>
      <c r="J275" s="64"/>
      <c r="K275" s="64"/>
      <c r="L275" s="64"/>
      <c r="M275" s="64"/>
      <c r="N275" s="64"/>
      <c r="O275" s="337"/>
    </row>
    <row r="276" spans="2:15" s="93" customFormat="1">
      <c r="B276" s="94"/>
      <c r="G276" s="64"/>
      <c r="H276" s="64"/>
      <c r="I276" s="64"/>
      <c r="J276" s="64"/>
      <c r="K276" s="64"/>
      <c r="L276" s="64"/>
      <c r="M276" s="64"/>
      <c r="N276" s="64"/>
      <c r="O276" s="337"/>
    </row>
    <row r="277" spans="2:15" s="93" customFormat="1">
      <c r="B277" s="94"/>
      <c r="G277" s="64"/>
      <c r="H277" s="64"/>
      <c r="I277" s="64"/>
      <c r="J277" s="64"/>
      <c r="K277" s="64"/>
      <c r="L277" s="64"/>
      <c r="M277" s="64"/>
      <c r="N277" s="64"/>
      <c r="O277" s="337"/>
    </row>
    <row r="278" spans="2:15" s="93" customFormat="1">
      <c r="B278" s="94"/>
      <c r="G278" s="64"/>
      <c r="H278" s="64"/>
      <c r="I278" s="64"/>
      <c r="J278" s="64"/>
      <c r="K278" s="64"/>
      <c r="L278" s="64"/>
      <c r="M278" s="64"/>
      <c r="N278" s="64"/>
      <c r="O278" s="337"/>
    </row>
    <row r="279" spans="2:15" s="93" customFormat="1">
      <c r="B279" s="94"/>
      <c r="G279" s="64"/>
      <c r="H279" s="64"/>
      <c r="I279" s="64"/>
      <c r="J279" s="64"/>
      <c r="K279" s="64"/>
      <c r="L279" s="64"/>
      <c r="M279" s="64"/>
      <c r="N279" s="64"/>
      <c r="O279" s="337"/>
    </row>
    <row r="280" spans="2:15" s="93" customFormat="1">
      <c r="B280" s="94"/>
      <c r="G280" s="64"/>
      <c r="H280" s="64"/>
      <c r="I280" s="64"/>
      <c r="J280" s="64"/>
      <c r="K280" s="64"/>
      <c r="L280" s="64"/>
      <c r="M280" s="64"/>
      <c r="N280" s="64"/>
      <c r="O280" s="337"/>
    </row>
    <row r="281" spans="2:15" s="93" customFormat="1">
      <c r="B281" s="94"/>
      <c r="G281" s="64"/>
      <c r="H281" s="64"/>
      <c r="I281" s="64"/>
      <c r="J281" s="64"/>
      <c r="K281" s="64"/>
      <c r="L281" s="64"/>
      <c r="M281" s="64"/>
      <c r="N281" s="64"/>
      <c r="O281" s="337"/>
    </row>
    <row r="282" spans="2:15" s="93" customFormat="1">
      <c r="B282" s="94"/>
      <c r="G282" s="64"/>
      <c r="H282" s="64"/>
      <c r="I282" s="64"/>
      <c r="J282" s="64"/>
      <c r="K282" s="64"/>
      <c r="L282" s="64"/>
      <c r="M282" s="64"/>
      <c r="N282" s="64"/>
      <c r="O282" s="337"/>
    </row>
    <row r="283" spans="2:15" s="93" customFormat="1">
      <c r="B283" s="94"/>
      <c r="G283" s="64"/>
      <c r="H283" s="64"/>
      <c r="I283" s="64"/>
      <c r="J283" s="64"/>
      <c r="K283" s="64"/>
      <c r="L283" s="64"/>
      <c r="M283" s="64"/>
      <c r="N283" s="64"/>
      <c r="O283" s="337"/>
    </row>
    <row r="284" spans="2:15" s="93" customFormat="1">
      <c r="B284" s="94"/>
      <c r="G284" s="64"/>
      <c r="H284" s="64"/>
      <c r="I284" s="64"/>
      <c r="J284" s="64"/>
      <c r="K284" s="64"/>
      <c r="L284" s="64"/>
      <c r="M284" s="64"/>
      <c r="N284" s="64"/>
      <c r="O284" s="337"/>
    </row>
    <row r="285" spans="2:15" s="93" customFormat="1">
      <c r="B285" s="94"/>
      <c r="G285" s="64"/>
      <c r="H285" s="64"/>
      <c r="I285" s="64"/>
      <c r="J285" s="64"/>
      <c r="K285" s="64"/>
      <c r="L285" s="64"/>
      <c r="M285" s="64"/>
      <c r="N285" s="64"/>
      <c r="O285" s="337"/>
    </row>
    <row r="286" spans="2:15" s="93" customFormat="1">
      <c r="B286" s="94"/>
      <c r="G286" s="64"/>
      <c r="H286" s="64"/>
      <c r="I286" s="64"/>
      <c r="J286" s="64"/>
      <c r="K286" s="64"/>
      <c r="L286" s="64"/>
      <c r="M286" s="64"/>
      <c r="N286" s="64"/>
      <c r="O286" s="337"/>
    </row>
    <row r="287" spans="2:15" s="93" customFormat="1">
      <c r="B287" s="94"/>
      <c r="G287" s="64"/>
      <c r="H287" s="64"/>
      <c r="I287" s="64"/>
      <c r="J287" s="64"/>
      <c r="K287" s="64"/>
      <c r="L287" s="64"/>
      <c r="M287" s="64"/>
      <c r="N287" s="64"/>
      <c r="O287" s="337"/>
    </row>
    <row r="288" spans="2:15" s="93" customFormat="1">
      <c r="B288" s="94"/>
      <c r="G288" s="64"/>
      <c r="H288" s="64"/>
      <c r="I288" s="64"/>
      <c r="J288" s="64"/>
      <c r="K288" s="64"/>
      <c r="L288" s="64"/>
      <c r="M288" s="64"/>
      <c r="N288" s="64"/>
      <c r="O288" s="337"/>
    </row>
    <row r="289" spans="2:15" s="93" customFormat="1">
      <c r="B289" s="94"/>
      <c r="G289" s="64"/>
      <c r="H289" s="64"/>
      <c r="I289" s="64"/>
      <c r="J289" s="64"/>
      <c r="K289" s="64"/>
      <c r="L289" s="64"/>
      <c r="M289" s="64"/>
      <c r="N289" s="64"/>
      <c r="O289" s="337"/>
    </row>
  </sheetData>
  <mergeCells count="92">
    <mergeCell ref="D25:G25"/>
    <mergeCell ref="B1:N1"/>
    <mergeCell ref="B4:G5"/>
    <mergeCell ref="H4:N5"/>
    <mergeCell ref="B7:G7"/>
    <mergeCell ref="B8:G8"/>
    <mergeCell ref="C9:G9"/>
    <mergeCell ref="D10:G10"/>
    <mergeCell ref="F11:G11"/>
    <mergeCell ref="F12:G12"/>
    <mergeCell ref="F19:G19"/>
    <mergeCell ref="F24:G24"/>
    <mergeCell ref="D39:G39"/>
    <mergeCell ref="D26:G26"/>
    <mergeCell ref="D27:G27"/>
    <mergeCell ref="F28:G28"/>
    <mergeCell ref="F29:G29"/>
    <mergeCell ref="F30:G30"/>
    <mergeCell ref="D31:G31"/>
    <mergeCell ref="D32:G32"/>
    <mergeCell ref="D33:G33"/>
    <mergeCell ref="D34:G34"/>
    <mergeCell ref="D35:G35"/>
    <mergeCell ref="C38:G38"/>
    <mergeCell ref="F51:G51"/>
    <mergeCell ref="F40:G40"/>
    <mergeCell ref="F41:G41"/>
    <mergeCell ref="D42:G42"/>
    <mergeCell ref="F43:G43"/>
    <mergeCell ref="F44:G44"/>
    <mergeCell ref="F45:G45"/>
    <mergeCell ref="F46:G46"/>
    <mergeCell ref="F47:G47"/>
    <mergeCell ref="F48:G48"/>
    <mergeCell ref="F49:G49"/>
    <mergeCell ref="F50:G50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D60:G60"/>
    <mergeCell ref="F61:G61"/>
    <mergeCell ref="F62:G62"/>
    <mergeCell ref="F75:G75"/>
    <mergeCell ref="D64:G64"/>
    <mergeCell ref="D65:G65"/>
    <mergeCell ref="D66:G66"/>
    <mergeCell ref="F67:G67"/>
    <mergeCell ref="F68:G68"/>
    <mergeCell ref="F69:G69"/>
    <mergeCell ref="F70:G70"/>
    <mergeCell ref="F71:G71"/>
    <mergeCell ref="D72:G72"/>
    <mergeCell ref="D73:G73"/>
    <mergeCell ref="F74:G74"/>
    <mergeCell ref="C90:G90"/>
    <mergeCell ref="F76:G76"/>
    <mergeCell ref="D77:G77"/>
    <mergeCell ref="D78:G78"/>
    <mergeCell ref="F79:G79"/>
    <mergeCell ref="F80:G80"/>
    <mergeCell ref="D81:G81"/>
    <mergeCell ref="F82:G82"/>
    <mergeCell ref="F83:G83"/>
    <mergeCell ref="F84:G84"/>
    <mergeCell ref="F85:G85"/>
    <mergeCell ref="B88:G88"/>
    <mergeCell ref="F106:G106"/>
    <mergeCell ref="D91:G91"/>
    <mergeCell ref="D92:G92"/>
    <mergeCell ref="C95:G95"/>
    <mergeCell ref="D96:G96"/>
    <mergeCell ref="D97:G97"/>
    <mergeCell ref="C100:G100"/>
    <mergeCell ref="D101:G101"/>
    <mergeCell ref="F102:G102"/>
    <mergeCell ref="F103:G103"/>
    <mergeCell ref="D104:G104"/>
    <mergeCell ref="F105:G105"/>
    <mergeCell ref="D117:G117"/>
    <mergeCell ref="D118:G118"/>
    <mergeCell ref="C111:G111"/>
    <mergeCell ref="D112:G112"/>
    <mergeCell ref="F113:G113"/>
    <mergeCell ref="F114:G114"/>
    <mergeCell ref="F115:G115"/>
    <mergeCell ref="F116:G116"/>
  </mergeCells>
  <printOptions horizontalCentered="1"/>
  <pageMargins left="0.59055118110236227" right="0.62992125984251968" top="0.39370078740157483" bottom="0.39370078740157483" header="0.19685039370078741" footer="0.19685039370078741"/>
  <pageSetup paperSize="9" scale="66" fitToHeight="0" orientation="landscape" r:id="rId1"/>
  <headerFooter alignWithMargins="0">
    <oddFooter>&amp;C&amp;"Garamond,Corsivo"&amp;P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B957-867A-40DA-A81F-2FD62B366BD3}">
  <sheetPr>
    <tabColor rgb="FF92D050"/>
    <pageSetUpPr fitToPage="1"/>
  </sheetPr>
  <dimension ref="A1:O289"/>
  <sheetViews>
    <sheetView showGridLines="0" view="pageBreakPreview" zoomScale="84" zoomScaleNormal="100" zoomScaleSheetLayoutView="84" workbookViewId="0">
      <pane xSplit="7" ySplit="8" topLeftCell="H42" activePane="bottomRight" state="frozen"/>
      <selection activeCell="F40" sqref="F40:G40"/>
      <selection pane="topRight" activeCell="F40" sqref="F40:G40"/>
      <selection pane="bottomLeft" activeCell="F40" sqref="F40:G40"/>
      <selection pane="bottomRight" activeCell="F40" sqref="F40:G40"/>
    </sheetView>
  </sheetViews>
  <sheetFormatPr defaultColWidth="10.42578125" defaultRowHeight="15" outlineLevelRow="2" outlineLevelCol="1"/>
  <cols>
    <col min="1" max="1" width="10.42578125" style="64"/>
    <col min="2" max="2" width="4" style="93" customWidth="1"/>
    <col min="3" max="3" width="4.5703125" style="93" customWidth="1"/>
    <col min="4" max="4" width="2.5703125" style="93" customWidth="1"/>
    <col min="5" max="6" width="4" style="93" customWidth="1"/>
    <col min="7" max="7" width="59.5703125" style="64" customWidth="1"/>
    <col min="8" max="8" width="23.140625" style="64" hidden="1" customWidth="1" outlineLevel="1"/>
    <col min="9" max="9" width="23.140625" style="64" customWidth="1" collapsed="1"/>
    <col min="10" max="12" width="23.140625" style="64" customWidth="1"/>
    <col min="13" max="13" width="20.42578125" style="64" bestFit="1" customWidth="1"/>
    <col min="14" max="14" width="15.85546875" style="64" bestFit="1" customWidth="1"/>
    <col min="15" max="16384" width="10.42578125" style="64"/>
  </cols>
  <sheetData>
    <row r="1" spans="1:15" s="52" customFormat="1" ht="36.75" customHeight="1">
      <c r="B1" s="627" t="s">
        <v>1438</v>
      </c>
      <c r="C1" s="627" t="s">
        <v>1438</v>
      </c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53"/>
    </row>
    <row r="2" spans="1:15" s="52" customFormat="1">
      <c r="B2" s="54"/>
      <c r="C2" s="54"/>
      <c r="D2" s="54"/>
      <c r="E2" s="54"/>
      <c r="F2" s="54"/>
      <c r="G2" s="54"/>
    </row>
    <row r="3" spans="1:15" s="52" customFormat="1" ht="15.75" thickBot="1">
      <c r="B3" s="54"/>
      <c r="C3" s="54"/>
      <c r="D3" s="54"/>
      <c r="E3" s="54"/>
      <c r="F3" s="54"/>
      <c r="G3" s="54"/>
    </row>
    <row r="4" spans="1:15" s="55" customFormat="1">
      <c r="B4" s="638" t="s">
        <v>3092</v>
      </c>
      <c r="C4" s="639"/>
      <c r="D4" s="639"/>
      <c r="E4" s="639"/>
      <c r="F4" s="639"/>
      <c r="G4" s="653"/>
      <c r="H4" s="655" t="s">
        <v>4641</v>
      </c>
      <c r="I4" s="656"/>
      <c r="J4" s="656"/>
      <c r="K4" s="656"/>
      <c r="L4" s="656"/>
      <c r="M4" s="656"/>
      <c r="N4" s="657"/>
    </row>
    <row r="5" spans="1:15" s="55" customFormat="1" ht="15.75" thickBot="1">
      <c r="B5" s="640"/>
      <c r="C5" s="641"/>
      <c r="D5" s="641"/>
      <c r="E5" s="641"/>
      <c r="F5" s="641"/>
      <c r="G5" s="654"/>
      <c r="H5" s="658"/>
      <c r="I5" s="659"/>
      <c r="J5" s="659"/>
      <c r="K5" s="659"/>
      <c r="L5" s="659"/>
      <c r="M5" s="659"/>
      <c r="N5" s="660"/>
    </row>
    <row r="6" spans="1:15" ht="15" customHeight="1" thickBot="1">
      <c r="B6" s="65"/>
      <c r="C6" s="65"/>
      <c r="D6" s="65"/>
      <c r="E6" s="65"/>
      <c r="F6" s="65"/>
      <c r="G6" s="65"/>
      <c r="H6" s="66"/>
    </row>
    <row r="7" spans="1:15" ht="18">
      <c r="B7" s="647" t="s">
        <v>4642</v>
      </c>
      <c r="C7" s="648"/>
      <c r="D7" s="648"/>
      <c r="E7" s="648"/>
      <c r="F7" s="648"/>
      <c r="G7" s="649"/>
      <c r="H7" s="284" t="s">
        <v>4370</v>
      </c>
      <c r="I7" s="284" t="s">
        <v>4368</v>
      </c>
      <c r="J7" s="284" t="s">
        <v>3774</v>
      </c>
      <c r="K7" s="284" t="s">
        <v>3774</v>
      </c>
      <c r="L7" s="284" t="s">
        <v>3774</v>
      </c>
      <c r="M7" s="71" t="str">
        <f>CONCATENATE("ABWEICHUNG ",  I8, " / ", L8)</f>
        <v>ABWEICHUNG 2019 / 2022</v>
      </c>
      <c r="N7" s="72"/>
    </row>
    <row r="8" spans="1:15" ht="22.5" customHeight="1">
      <c r="B8" s="650" t="s">
        <v>4643</v>
      </c>
      <c r="C8" s="651"/>
      <c r="D8" s="651"/>
      <c r="E8" s="651"/>
      <c r="F8" s="651"/>
      <c r="G8" s="652"/>
      <c r="H8" s="76">
        <f>IF('CE statale pluri'!H8=0,"",'CE statale pluri'!H8)</f>
        <v>2018</v>
      </c>
      <c r="I8" s="76">
        <f>IF('CE statale pluri'!I8=0,"",'CE statale pluri'!I8)</f>
        <v>2019</v>
      </c>
      <c r="J8" s="76">
        <f>IF('CE statale pluri'!J8=0,"",'CE statale pluri'!J8)</f>
        <v>2020</v>
      </c>
      <c r="K8" s="76">
        <f>IF('CE statale pluri'!K8=0,"",'CE statale pluri'!K8)</f>
        <v>2021</v>
      </c>
      <c r="L8" s="76">
        <f>IF('CE statale pluri'!L8=0,"",'CE statale pluri'!L8)</f>
        <v>2022</v>
      </c>
      <c r="M8" s="77" t="s">
        <v>2931</v>
      </c>
      <c r="N8" s="78" t="s">
        <v>3174</v>
      </c>
    </row>
    <row r="9" spans="1:15" s="79" customFormat="1">
      <c r="A9" s="209"/>
      <c r="B9" s="210" t="s">
        <v>3182</v>
      </c>
      <c r="C9" s="630" t="s">
        <v>1440</v>
      </c>
      <c r="D9" s="630"/>
      <c r="E9" s="630"/>
      <c r="F9" s="630"/>
      <c r="G9" s="631"/>
      <c r="H9" s="211" t="str">
        <f>IF('CE statale pluri'!H9=0,"",'CE statale pluri'!H9)</f>
        <v/>
      </c>
      <c r="I9" s="211" t="str">
        <f>IF('CE statale pluri'!I9=0,"",'CE statale pluri'!I9)</f>
        <v/>
      </c>
      <c r="J9" s="211" t="str">
        <f>IF('CE statale pluri'!J9=0,"",'CE statale pluri'!J9)</f>
        <v/>
      </c>
      <c r="K9" s="211" t="str">
        <f>IF('CE statale pluri'!K9=0,"",'CE statale pluri'!K9)</f>
        <v/>
      </c>
      <c r="L9" s="211" t="str">
        <f>IF('CE statale pluri'!L9=0,"",'CE statale pluri'!L9)</f>
        <v/>
      </c>
      <c r="M9" s="212" t="str">
        <f>IF('CE statale pluri'!M9=0,"",'CE statale pluri'!M9)</f>
        <v/>
      </c>
      <c r="N9" s="338" t="str">
        <f>IF('CE statale pluri'!N9=0,"",'CE statale pluri'!N9)</f>
        <v/>
      </c>
    </row>
    <row r="10" spans="1:15" s="79" customFormat="1">
      <c r="A10" s="209"/>
      <c r="B10" s="215"/>
      <c r="C10" s="216" t="s">
        <v>2849</v>
      </c>
      <c r="D10" s="628" t="s">
        <v>1442</v>
      </c>
      <c r="E10" s="628"/>
      <c r="F10" s="628"/>
      <c r="G10" s="629"/>
      <c r="H10" s="217">
        <f>IF('CE statale pluri'!H10=0,"",'CE statale pluri'!H10)</f>
        <v>1197309589.2400002</v>
      </c>
      <c r="I10" s="217">
        <f>IF('CE statale pluri'!I10=0,"",'CE statale pluri'!I10)</f>
        <v>1238103106.9300001</v>
      </c>
      <c r="J10" s="217">
        <f>IF('CE statale pluri'!J10=0,"",'CE statale pluri'!J10)</f>
        <v>1252767942.5699999</v>
      </c>
      <c r="K10" s="217">
        <f>IF('CE statale pluri'!K10=0,"",'CE statale pluri'!K10)</f>
        <v>1287995900</v>
      </c>
      <c r="L10" s="217">
        <f>IF('CE statale pluri'!L10=0,"",'CE statale pluri'!L10)</f>
        <v>1316885897.76</v>
      </c>
      <c r="M10" s="218">
        <f>IF('CE statale pluri'!M10=0,"",'CE statale pluri'!M10)</f>
        <v>78782790.829999924</v>
      </c>
      <c r="N10" s="339">
        <f>IF('CE statale pluri'!N10=0,"",'CE statale pluri'!N10)</f>
        <v>6.3631849713510283E-2</v>
      </c>
    </row>
    <row r="11" spans="1:15" s="55" customFormat="1" ht="30" customHeight="1" outlineLevel="1">
      <c r="A11" s="209" t="s">
        <v>451</v>
      </c>
      <c r="B11" s="221"/>
      <c r="C11" s="222"/>
      <c r="D11" s="223"/>
      <c r="E11" s="222" t="s">
        <v>2851</v>
      </c>
      <c r="F11" s="625" t="s">
        <v>2365</v>
      </c>
      <c r="G11" s="626"/>
      <c r="H11" s="225">
        <f>IF('CE statale pluri'!H11=0,"",'CE statale pluri'!H11)</f>
        <v>1175424308.7</v>
      </c>
      <c r="I11" s="225">
        <f>IF('CE statale pluri'!I11=0,"",'CE statale pluri'!I11)</f>
        <v>1214399062.9400001</v>
      </c>
      <c r="J11" s="225">
        <f>IF('CE statale pluri'!J11=0,"",'CE statale pluri'!J11)</f>
        <v>1203982641.27</v>
      </c>
      <c r="K11" s="225">
        <f>IF('CE statale pluri'!K11=0,"",'CE statale pluri'!K11)</f>
        <v>1239307900</v>
      </c>
      <c r="L11" s="225">
        <f>IF('CE statale pluri'!L11=0,"",'CE statale pluri'!L11)</f>
        <v>1268197897.76</v>
      </c>
      <c r="M11" s="226">
        <f>IF('CE statale pluri'!M11=0,"",'CE statale pluri'!M11)</f>
        <v>53798834.819999933</v>
      </c>
      <c r="N11" s="340">
        <f>IF('CE statale pluri'!N11=0,"",'CE statale pluri'!N11)</f>
        <v>4.4300787493820701E-2</v>
      </c>
    </row>
    <row r="12" spans="1:15" s="55" customFormat="1" outlineLevel="1">
      <c r="A12" s="209"/>
      <c r="B12" s="221"/>
      <c r="C12" s="222"/>
      <c r="D12" s="223"/>
      <c r="E12" s="222" t="s">
        <v>2853</v>
      </c>
      <c r="F12" s="625" t="s">
        <v>2366</v>
      </c>
      <c r="G12" s="626"/>
      <c r="H12" s="225">
        <f>IF('CE statale pluri'!H12=0,"",'CE statale pluri'!H12)</f>
        <v>21792095.649999999</v>
      </c>
      <c r="I12" s="225">
        <f>IF('CE statale pluri'!I12=0,"",'CE statale pluri'!I12)</f>
        <v>23423000</v>
      </c>
      <c r="J12" s="225">
        <f>IF('CE statale pluri'!J12=0,"",'CE statale pluri'!J12)</f>
        <v>48288000</v>
      </c>
      <c r="K12" s="225">
        <f>IF('CE statale pluri'!K12=0,"",'CE statale pluri'!K12)</f>
        <v>48288000</v>
      </c>
      <c r="L12" s="225">
        <f>IF('CE statale pluri'!L12=0,"",'CE statale pluri'!L12)</f>
        <v>48288000</v>
      </c>
      <c r="M12" s="226">
        <f>IF('CE statale pluri'!M12=0,"",'CE statale pluri'!M12)</f>
        <v>24865000</v>
      </c>
      <c r="N12" s="340">
        <f>IF('CE statale pluri'!N12=0,"",'CE statale pluri'!N12)</f>
        <v>1.0615634205695257</v>
      </c>
    </row>
    <row r="13" spans="1:15" s="80" customFormat="1" ht="30" customHeight="1" outlineLevel="1">
      <c r="A13" s="209" t="s">
        <v>2855</v>
      </c>
      <c r="B13" s="229"/>
      <c r="C13" s="230"/>
      <c r="D13" s="231"/>
      <c r="E13" s="230"/>
      <c r="F13" s="232" t="s">
        <v>2849</v>
      </c>
      <c r="G13" s="236" t="s">
        <v>2367</v>
      </c>
      <c r="H13" s="341" t="str">
        <f>IF('CE statale pluri'!H13=0,"",'CE statale pluri'!H13)</f>
        <v/>
      </c>
      <c r="I13" s="341" t="str">
        <f>IF('CE statale pluri'!I13=0,"",'CE statale pluri'!I13)</f>
        <v/>
      </c>
      <c r="J13" s="341" t="str">
        <f>IF('CE statale pluri'!J13=0,"",'CE statale pluri'!J13)</f>
        <v/>
      </c>
      <c r="K13" s="341" t="str">
        <f>IF('CE statale pluri'!K13=0,"",'CE statale pluri'!K13)</f>
        <v/>
      </c>
      <c r="L13" s="341" t="str">
        <f>IF('CE statale pluri'!L13=0,"",'CE statale pluri'!L13)</f>
        <v/>
      </c>
      <c r="M13" s="341" t="str">
        <f>IF('CE statale pluri'!M13=0,"",'CE statale pluri'!M13)</f>
        <v/>
      </c>
      <c r="N13" s="340" t="str">
        <f>IF('CE statale pluri'!N13=0,"",'CE statale pluri'!N13)</f>
        <v xml:space="preserve">-    </v>
      </c>
    </row>
    <row r="14" spans="1:15" s="80" customFormat="1" ht="30" customHeight="1" outlineLevel="1">
      <c r="A14" s="234" t="s">
        <v>2857</v>
      </c>
      <c r="B14" s="229"/>
      <c r="C14" s="230"/>
      <c r="D14" s="231"/>
      <c r="E14" s="230"/>
      <c r="F14" s="232" t="s">
        <v>2858</v>
      </c>
      <c r="G14" s="236" t="s">
        <v>2368</v>
      </c>
      <c r="H14" s="341" t="str">
        <f>IF('CE statale pluri'!H14=0,"",'CE statale pluri'!H14)</f>
        <v/>
      </c>
      <c r="I14" s="341" t="str">
        <f>IF('CE statale pluri'!I14=0,"",'CE statale pluri'!I14)</f>
        <v/>
      </c>
      <c r="J14" s="341" t="str">
        <f>IF('CE statale pluri'!J14=0,"",'CE statale pluri'!J14)</f>
        <v/>
      </c>
      <c r="K14" s="341" t="str">
        <f>IF('CE statale pluri'!K14=0,"",'CE statale pluri'!K14)</f>
        <v/>
      </c>
      <c r="L14" s="341" t="str">
        <f>IF('CE statale pluri'!L14=0,"",'CE statale pluri'!L14)</f>
        <v/>
      </c>
      <c r="M14" s="341" t="str">
        <f>IF('CE statale pluri'!M14=0,"",'CE statale pluri'!M14)</f>
        <v/>
      </c>
      <c r="N14" s="340" t="str">
        <f>IF('CE statale pluri'!N14=0,"",'CE statale pluri'!N14)</f>
        <v xml:space="preserve">-    </v>
      </c>
    </row>
    <row r="15" spans="1:15" s="80" customFormat="1" ht="30" customHeight="1" outlineLevel="1">
      <c r="A15" s="209" t="s">
        <v>2860</v>
      </c>
      <c r="B15" s="229"/>
      <c r="C15" s="230"/>
      <c r="D15" s="231"/>
      <c r="E15" s="230"/>
      <c r="F15" s="232" t="s">
        <v>2861</v>
      </c>
      <c r="G15" s="236" t="s">
        <v>2369</v>
      </c>
      <c r="H15" s="341">
        <f>IF('CE statale pluri'!H15=0,"",'CE statale pluri'!H15)</f>
        <v>21792095.649999999</v>
      </c>
      <c r="I15" s="341">
        <f>IF('CE statale pluri'!I15=0,"",'CE statale pluri'!I15)</f>
        <v>22823000</v>
      </c>
      <c r="J15" s="341">
        <f>IF('CE statale pluri'!J15=0,"",'CE statale pluri'!J15)</f>
        <v>48288000</v>
      </c>
      <c r="K15" s="341">
        <f>IF('CE statale pluri'!K15=0,"",'CE statale pluri'!K15)</f>
        <v>48288000</v>
      </c>
      <c r="L15" s="341">
        <f>IF('CE statale pluri'!L15=0,"",'CE statale pluri'!L15)</f>
        <v>48288000</v>
      </c>
      <c r="M15" s="341">
        <f>IF('CE statale pluri'!M15=0,"",'CE statale pluri'!M15)</f>
        <v>25465000</v>
      </c>
      <c r="N15" s="340">
        <f>IF('CE statale pluri'!N15=0,"",'CE statale pluri'!N15)</f>
        <v>1.1157604171230775</v>
      </c>
    </row>
    <row r="16" spans="1:15" s="80" customFormat="1" ht="30" customHeight="1" outlineLevel="1">
      <c r="A16" s="234" t="s">
        <v>2863</v>
      </c>
      <c r="B16" s="229"/>
      <c r="C16" s="230"/>
      <c r="D16" s="231"/>
      <c r="E16" s="230"/>
      <c r="F16" s="232" t="s">
        <v>2864</v>
      </c>
      <c r="G16" s="236" t="s">
        <v>2370</v>
      </c>
      <c r="H16" s="341" t="str">
        <f>IF('CE statale pluri'!H16=0,"",'CE statale pluri'!H16)</f>
        <v/>
      </c>
      <c r="I16" s="341">
        <f>IF('CE statale pluri'!I16=0,"",'CE statale pluri'!I16)</f>
        <v>600000</v>
      </c>
      <c r="J16" s="341" t="str">
        <f>IF('CE statale pluri'!J16=0,"",'CE statale pluri'!J16)</f>
        <v/>
      </c>
      <c r="K16" s="341" t="str">
        <f>IF('CE statale pluri'!K16=0,"",'CE statale pluri'!K16)</f>
        <v/>
      </c>
      <c r="L16" s="341" t="str">
        <f>IF('CE statale pluri'!L16=0,"",'CE statale pluri'!L16)</f>
        <v/>
      </c>
      <c r="M16" s="341">
        <f>IF('CE statale pluri'!M16=0,"",'CE statale pluri'!M16)</f>
        <v>-600000</v>
      </c>
      <c r="N16" s="340">
        <f>IF('CE statale pluri'!N16=0,"",'CE statale pluri'!N16)</f>
        <v>-1</v>
      </c>
    </row>
    <row r="17" spans="1:14" s="80" customFormat="1" ht="30" customHeight="1" outlineLevel="1">
      <c r="A17" s="209" t="s">
        <v>3536</v>
      </c>
      <c r="B17" s="229"/>
      <c r="C17" s="230"/>
      <c r="D17" s="231"/>
      <c r="E17" s="230"/>
      <c r="F17" s="232" t="s">
        <v>3537</v>
      </c>
      <c r="G17" s="236" t="s">
        <v>2371</v>
      </c>
      <c r="H17" s="341" t="str">
        <f>IF('CE statale pluri'!H17=0,"",'CE statale pluri'!H17)</f>
        <v/>
      </c>
      <c r="I17" s="341" t="str">
        <f>IF('CE statale pluri'!I17=0,"",'CE statale pluri'!I17)</f>
        <v/>
      </c>
      <c r="J17" s="341" t="str">
        <f>IF('CE statale pluri'!J17=0,"",'CE statale pluri'!J17)</f>
        <v/>
      </c>
      <c r="K17" s="341" t="str">
        <f>IF('CE statale pluri'!K17=0,"",'CE statale pluri'!K17)</f>
        <v/>
      </c>
      <c r="L17" s="341" t="str">
        <f>IF('CE statale pluri'!L17=0,"",'CE statale pluri'!L17)</f>
        <v/>
      </c>
      <c r="M17" s="341" t="str">
        <f>IF('CE statale pluri'!M17=0,"",'CE statale pluri'!M17)</f>
        <v/>
      </c>
      <c r="N17" s="343" t="str">
        <f>IF('CE statale pluri'!N17=0,"",'CE statale pluri'!N17)</f>
        <v xml:space="preserve">-    </v>
      </c>
    </row>
    <row r="18" spans="1:14" s="80" customFormat="1" outlineLevel="1">
      <c r="A18" s="234" t="s">
        <v>3539</v>
      </c>
      <c r="B18" s="229"/>
      <c r="C18" s="230"/>
      <c r="D18" s="231"/>
      <c r="E18" s="230"/>
      <c r="F18" s="232" t="s">
        <v>3540</v>
      </c>
      <c r="G18" s="236" t="s">
        <v>3686</v>
      </c>
      <c r="H18" s="341" t="str">
        <f>IF('CE statale pluri'!H18=0,"",'CE statale pluri'!H18)</f>
        <v/>
      </c>
      <c r="I18" s="341" t="str">
        <f>IF('CE statale pluri'!I18=0,"",'CE statale pluri'!I18)</f>
        <v/>
      </c>
      <c r="J18" s="341" t="str">
        <f>IF('CE statale pluri'!J18=0,"",'CE statale pluri'!J18)</f>
        <v/>
      </c>
      <c r="K18" s="341" t="str">
        <f>IF('CE statale pluri'!K18=0,"",'CE statale pluri'!K18)</f>
        <v/>
      </c>
      <c r="L18" s="341" t="str">
        <f>IF('CE statale pluri'!L18=0,"",'CE statale pluri'!L18)</f>
        <v/>
      </c>
      <c r="M18" s="341" t="str">
        <f>IF('CE statale pluri'!M18=0,"",'CE statale pluri'!M18)</f>
        <v/>
      </c>
      <c r="N18" s="340" t="str">
        <f>IF('CE statale pluri'!N18=0,"",'CE statale pluri'!N18)</f>
        <v xml:space="preserve">-    </v>
      </c>
    </row>
    <row r="19" spans="1:14" s="55" customFormat="1" outlineLevel="1">
      <c r="A19" s="209"/>
      <c r="B19" s="221"/>
      <c r="C19" s="222"/>
      <c r="D19" s="223"/>
      <c r="E19" s="222" t="s">
        <v>3542</v>
      </c>
      <c r="F19" s="625" t="s">
        <v>2372</v>
      </c>
      <c r="G19" s="626"/>
      <c r="H19" s="225">
        <f>IF('CE statale pluri'!H19=0,"",'CE statale pluri'!H19)</f>
        <v>93184.89</v>
      </c>
      <c r="I19" s="225">
        <f>IF('CE statale pluri'!I19=0,"",'CE statale pluri'!I19)</f>
        <v>281043.99</v>
      </c>
      <c r="J19" s="225">
        <f>IF('CE statale pluri'!J19=0,"",'CE statale pluri'!J19)</f>
        <v>497301.3</v>
      </c>
      <c r="K19" s="225">
        <f>IF('CE statale pluri'!K19=0,"",'CE statale pluri'!K19)</f>
        <v>400000</v>
      </c>
      <c r="L19" s="225">
        <f>IF('CE statale pluri'!L19=0,"",'CE statale pluri'!L19)</f>
        <v>400000</v>
      </c>
      <c r="M19" s="226">
        <f>IF('CE statale pluri'!M19=0,"",'CE statale pluri'!M19)</f>
        <v>118956.01000000001</v>
      </c>
      <c r="N19" s="340">
        <f>IF('CE statale pluri'!N19=0,"",'CE statale pluri'!N19)</f>
        <v>0.42326473517544355</v>
      </c>
    </row>
    <row r="20" spans="1:14" s="55" customFormat="1" outlineLevel="1">
      <c r="A20" s="209" t="s">
        <v>3544</v>
      </c>
      <c r="B20" s="221"/>
      <c r="C20" s="222"/>
      <c r="D20" s="223"/>
      <c r="E20" s="223"/>
      <c r="F20" s="238" t="s">
        <v>2849</v>
      </c>
      <c r="G20" s="236" t="s">
        <v>2373</v>
      </c>
      <c r="H20" s="341" t="str">
        <f>IF('CE statale pluri'!H20=0,"",'CE statale pluri'!H20)</f>
        <v/>
      </c>
      <c r="I20" s="341" t="str">
        <f>IF('CE statale pluri'!I20=0,"",'CE statale pluri'!I20)</f>
        <v/>
      </c>
      <c r="J20" s="341" t="str">
        <f>IF('CE statale pluri'!J20=0,"",'CE statale pluri'!J20)</f>
        <v/>
      </c>
      <c r="K20" s="341" t="str">
        <f>IF('CE statale pluri'!K20=0,"",'CE statale pluri'!K20)</f>
        <v/>
      </c>
      <c r="L20" s="341" t="str">
        <f>IF('CE statale pluri'!L20=0,"",'CE statale pluri'!L20)</f>
        <v/>
      </c>
      <c r="M20" s="341" t="str">
        <f>IF('CE statale pluri'!M20=0,"",'CE statale pluri'!M20)</f>
        <v/>
      </c>
      <c r="N20" s="344" t="str">
        <f>IF('CE statale pluri'!N20=0,"",'CE statale pluri'!N20)</f>
        <v xml:space="preserve">-    </v>
      </c>
    </row>
    <row r="21" spans="1:14" s="55" customFormat="1" outlineLevel="1">
      <c r="A21" s="209" t="s">
        <v>3490</v>
      </c>
      <c r="B21" s="221"/>
      <c r="C21" s="222"/>
      <c r="D21" s="223"/>
      <c r="E21" s="223"/>
      <c r="F21" s="238" t="s">
        <v>2858</v>
      </c>
      <c r="G21" s="236" t="s">
        <v>2374</v>
      </c>
      <c r="H21" s="341">
        <f>IF('CE statale pluri'!H21=0,"",'CE statale pluri'!H21)</f>
        <v>47301.3</v>
      </c>
      <c r="I21" s="341">
        <f>IF('CE statale pluri'!I21=0,"",'CE statale pluri'!I21)</f>
        <v>81043.990000000005</v>
      </c>
      <c r="J21" s="341">
        <f>IF('CE statale pluri'!J21=0,"",'CE statale pluri'!J21)</f>
        <v>47301.3</v>
      </c>
      <c r="K21" s="341" t="str">
        <f>IF('CE statale pluri'!K21=0,"",'CE statale pluri'!K21)</f>
        <v/>
      </c>
      <c r="L21" s="341" t="str">
        <f>IF('CE statale pluri'!L21=0,"",'CE statale pluri'!L21)</f>
        <v/>
      </c>
      <c r="M21" s="341">
        <f>IF('CE statale pluri'!M21=0,"",'CE statale pluri'!M21)</f>
        <v>-81043.990000000005</v>
      </c>
      <c r="N21" s="344">
        <f>IF('CE statale pluri'!N21=0,"",'CE statale pluri'!N21)</f>
        <v>-1</v>
      </c>
    </row>
    <row r="22" spans="1:14" s="55" customFormat="1" outlineLevel="1">
      <c r="A22" s="209" t="s">
        <v>3044</v>
      </c>
      <c r="B22" s="221"/>
      <c r="C22" s="222"/>
      <c r="D22" s="223"/>
      <c r="E22" s="223"/>
      <c r="F22" s="238" t="s">
        <v>2861</v>
      </c>
      <c r="G22" s="236" t="s">
        <v>2375</v>
      </c>
      <c r="H22" s="341">
        <f>IF('CE statale pluri'!H22=0,"",'CE statale pluri'!H22)</f>
        <v>45883.59</v>
      </c>
      <c r="I22" s="341">
        <f>IF('CE statale pluri'!I22=0,"",'CE statale pluri'!I22)</f>
        <v>200000</v>
      </c>
      <c r="J22" s="341">
        <f>IF('CE statale pluri'!J22=0,"",'CE statale pluri'!J22)</f>
        <v>450000</v>
      </c>
      <c r="K22" s="341">
        <f>IF('CE statale pluri'!K22=0,"",'CE statale pluri'!K22)</f>
        <v>400000</v>
      </c>
      <c r="L22" s="341">
        <f>IF('CE statale pluri'!L22=0,"",'CE statale pluri'!L22)</f>
        <v>400000</v>
      </c>
      <c r="M22" s="341">
        <f>IF('CE statale pluri'!M22=0,"",'CE statale pluri'!M22)</f>
        <v>200000</v>
      </c>
      <c r="N22" s="344">
        <f>IF('CE statale pluri'!N22=0,"",'CE statale pluri'!N22)</f>
        <v>1</v>
      </c>
    </row>
    <row r="23" spans="1:14" s="55" customFormat="1" outlineLevel="1">
      <c r="A23" s="209" t="s">
        <v>3499</v>
      </c>
      <c r="B23" s="221"/>
      <c r="C23" s="222"/>
      <c r="D23" s="223"/>
      <c r="E23" s="223"/>
      <c r="F23" s="238" t="s">
        <v>2864</v>
      </c>
      <c r="G23" s="236" t="s">
        <v>2376</v>
      </c>
      <c r="H23" s="341" t="str">
        <f>IF('CE statale pluri'!H23=0,"",'CE statale pluri'!H23)</f>
        <v/>
      </c>
      <c r="I23" s="341" t="str">
        <f>IF('CE statale pluri'!I23=0,"",'CE statale pluri'!I23)</f>
        <v/>
      </c>
      <c r="J23" s="341" t="str">
        <f>IF('CE statale pluri'!J23=0,"",'CE statale pluri'!J23)</f>
        <v/>
      </c>
      <c r="K23" s="341" t="str">
        <f>IF('CE statale pluri'!K23=0,"",'CE statale pluri'!K23)</f>
        <v/>
      </c>
      <c r="L23" s="341" t="str">
        <f>IF('CE statale pluri'!L23=0,"",'CE statale pluri'!L23)</f>
        <v/>
      </c>
      <c r="M23" s="341" t="str">
        <f>IF('CE statale pluri'!M23=0,"",'CE statale pluri'!M23)</f>
        <v/>
      </c>
      <c r="N23" s="344" t="str">
        <f>IF('CE statale pluri'!N23=0,"",'CE statale pluri'!N23)</f>
        <v xml:space="preserve">-    </v>
      </c>
    </row>
    <row r="24" spans="1:14" s="55" customFormat="1" outlineLevel="1">
      <c r="A24" s="209" t="s">
        <v>3549</v>
      </c>
      <c r="B24" s="221"/>
      <c r="C24" s="222"/>
      <c r="D24" s="223"/>
      <c r="E24" s="222" t="s">
        <v>3550</v>
      </c>
      <c r="F24" s="625" t="s">
        <v>2377</v>
      </c>
      <c r="G24" s="626"/>
      <c r="H24" s="225" t="str">
        <f>IF('CE statale pluri'!H24=0,"",'CE statale pluri'!H24)</f>
        <v/>
      </c>
      <c r="I24" s="225" t="str">
        <f>IF('CE statale pluri'!I24=0,"",'CE statale pluri'!I24)</f>
        <v/>
      </c>
      <c r="J24" s="225" t="str">
        <f>IF('CE statale pluri'!J24=0,"",'CE statale pluri'!J24)</f>
        <v/>
      </c>
      <c r="K24" s="225" t="str">
        <f>IF('CE statale pluri'!K24=0,"",'CE statale pluri'!K24)</f>
        <v/>
      </c>
      <c r="L24" s="225" t="str">
        <f>IF('CE statale pluri'!L24=0,"",'CE statale pluri'!L24)</f>
        <v/>
      </c>
      <c r="M24" s="226" t="str">
        <f>IF('CE statale pluri'!M24=0,"",'CE statale pluri'!M24)</f>
        <v/>
      </c>
      <c r="N24" s="340" t="str">
        <f>IF('CE statale pluri'!N24=0,"",'CE statale pluri'!N24)</f>
        <v xml:space="preserve">-    </v>
      </c>
    </row>
    <row r="25" spans="1:14" s="79" customFormat="1">
      <c r="A25" s="209" t="s">
        <v>3552</v>
      </c>
      <c r="B25" s="240"/>
      <c r="C25" s="216" t="s">
        <v>2858</v>
      </c>
      <c r="D25" s="628" t="s">
        <v>2378</v>
      </c>
      <c r="E25" s="628"/>
      <c r="F25" s="628"/>
      <c r="G25" s="629"/>
      <c r="H25" s="217">
        <f>IF('CE statale pluri'!H25=0,"",'CE statale pluri'!H25)</f>
        <v>-1628.07</v>
      </c>
      <c r="I25" s="217" t="str">
        <f>IF('CE statale pluri'!I25=0,"",'CE statale pluri'!I25)</f>
        <v/>
      </c>
      <c r="J25" s="217" t="str">
        <f>IF('CE statale pluri'!J25=0,"",'CE statale pluri'!J25)</f>
        <v/>
      </c>
      <c r="K25" s="217" t="str">
        <f>IF('CE statale pluri'!K25=0,"",'CE statale pluri'!K25)</f>
        <v/>
      </c>
      <c r="L25" s="217" t="str">
        <f>IF('CE statale pluri'!L25=0,"",'CE statale pluri'!L25)</f>
        <v/>
      </c>
      <c r="M25" s="218" t="str">
        <f>IF('CE statale pluri'!M25=0,"",'CE statale pluri'!M25)</f>
        <v/>
      </c>
      <c r="N25" s="339" t="str">
        <f>IF('CE statale pluri'!N25=0,"",'CE statale pluri'!N25)</f>
        <v xml:space="preserve">-    </v>
      </c>
    </row>
    <row r="26" spans="1:14" s="79" customFormat="1">
      <c r="A26" s="209" t="s">
        <v>3552</v>
      </c>
      <c r="B26" s="240"/>
      <c r="C26" s="216" t="s">
        <v>2861</v>
      </c>
      <c r="D26" s="628" t="s">
        <v>2379</v>
      </c>
      <c r="E26" s="628"/>
      <c r="F26" s="628"/>
      <c r="G26" s="629"/>
      <c r="H26" s="217" t="str">
        <f>IF('CE statale pluri'!H26=0,"",'CE statale pluri'!H26)</f>
        <v/>
      </c>
      <c r="I26" s="217" t="str">
        <f>IF('CE statale pluri'!I26=0,"",'CE statale pluri'!I26)</f>
        <v/>
      </c>
      <c r="J26" s="217" t="str">
        <f>IF('CE statale pluri'!J26=0,"",'CE statale pluri'!J26)</f>
        <v/>
      </c>
      <c r="K26" s="217" t="str">
        <f>IF('CE statale pluri'!K26=0,"",'CE statale pluri'!K26)</f>
        <v/>
      </c>
      <c r="L26" s="217" t="str">
        <f>IF('CE statale pluri'!L26=0,"",'CE statale pluri'!L26)</f>
        <v/>
      </c>
      <c r="M26" s="218" t="str">
        <f>IF('CE statale pluri'!M26=0,"",'CE statale pluri'!M26)</f>
        <v/>
      </c>
      <c r="N26" s="339" t="str">
        <f>IF('CE statale pluri'!N26=0,"",'CE statale pluri'!N26)</f>
        <v xml:space="preserve">-    </v>
      </c>
    </row>
    <row r="27" spans="1:14" s="79" customFormat="1">
      <c r="A27" s="209"/>
      <c r="B27" s="215"/>
      <c r="C27" s="216" t="s">
        <v>2864</v>
      </c>
      <c r="D27" s="628" t="s">
        <v>5953</v>
      </c>
      <c r="E27" s="628"/>
      <c r="F27" s="628"/>
      <c r="G27" s="629"/>
      <c r="H27" s="217">
        <f>IF('CE statale pluri'!H27=0,"",'CE statale pluri'!H27)</f>
        <v>62686886.729999997</v>
      </c>
      <c r="I27" s="217">
        <f>IF('CE statale pluri'!I27=0,"",'CE statale pluri'!I27)</f>
        <v>62325000</v>
      </c>
      <c r="J27" s="217">
        <f>IF('CE statale pluri'!J27=0,"",'CE statale pluri'!J27)</f>
        <v>63818000</v>
      </c>
      <c r="K27" s="217">
        <f>IF('CE statale pluri'!K27=0,"",'CE statale pluri'!K27)</f>
        <v>63818000</v>
      </c>
      <c r="L27" s="217">
        <f>IF('CE statale pluri'!L27=0,"",'CE statale pluri'!L27)</f>
        <v>63818000</v>
      </c>
      <c r="M27" s="218">
        <f>IF('CE statale pluri'!M27=0,"",'CE statale pluri'!M27)</f>
        <v>1493000</v>
      </c>
      <c r="N27" s="339">
        <f>IF('CE statale pluri'!N27=0,"",'CE statale pluri'!N27)</f>
        <v>2.3955074207781788E-2</v>
      </c>
    </row>
    <row r="28" spans="1:14" s="55" customFormat="1" ht="30" customHeight="1" outlineLevel="2">
      <c r="A28" s="209" t="s">
        <v>3556</v>
      </c>
      <c r="B28" s="221"/>
      <c r="C28" s="222"/>
      <c r="D28" s="223"/>
      <c r="E28" s="222" t="s">
        <v>2851</v>
      </c>
      <c r="F28" s="625" t="s">
        <v>5954</v>
      </c>
      <c r="G28" s="626"/>
      <c r="H28" s="225">
        <f>IF('CE statale pluri'!H28=0,"",'CE statale pluri'!H28)</f>
        <v>44600647.119999997</v>
      </c>
      <c r="I28" s="225">
        <f>IF('CE statale pluri'!I28=0,"",'CE statale pluri'!I28)</f>
        <v>44486000</v>
      </c>
      <c r="J28" s="225">
        <f>IF('CE statale pluri'!J28=0,"",'CE statale pluri'!J28)</f>
        <v>45979000</v>
      </c>
      <c r="K28" s="225">
        <f>IF('CE statale pluri'!K28=0,"",'CE statale pluri'!K28)</f>
        <v>45979000</v>
      </c>
      <c r="L28" s="225">
        <f>IF('CE statale pluri'!L28=0,"",'CE statale pluri'!L28)</f>
        <v>45979000</v>
      </c>
      <c r="M28" s="226">
        <f>IF('CE statale pluri'!M28=0,"",'CE statale pluri'!M28)</f>
        <v>1493000</v>
      </c>
      <c r="N28" s="340">
        <f>IF('CE statale pluri'!N28=0,"",'CE statale pluri'!N28)</f>
        <v>3.3561120352470442E-2</v>
      </c>
    </row>
    <row r="29" spans="1:14" s="55" customFormat="1" ht="28.5" customHeight="1" outlineLevel="2">
      <c r="A29" s="209" t="s">
        <v>3558</v>
      </c>
      <c r="B29" s="221"/>
      <c r="C29" s="222"/>
      <c r="D29" s="223"/>
      <c r="E29" s="222" t="s">
        <v>2853</v>
      </c>
      <c r="F29" s="625" t="s">
        <v>5956</v>
      </c>
      <c r="G29" s="626"/>
      <c r="H29" s="225">
        <f>IF('CE statale pluri'!H29=0,"",'CE statale pluri'!H29)</f>
        <v>3519111.9000000004</v>
      </c>
      <c r="I29" s="225">
        <f>IF('CE statale pluri'!I29=0,"",'CE statale pluri'!I29)</f>
        <v>3455000</v>
      </c>
      <c r="J29" s="225">
        <f>IF('CE statale pluri'!J29=0,"",'CE statale pluri'!J29)</f>
        <v>3455000</v>
      </c>
      <c r="K29" s="225">
        <f>IF('CE statale pluri'!K29=0,"",'CE statale pluri'!K29)</f>
        <v>3455000</v>
      </c>
      <c r="L29" s="225">
        <f>IF('CE statale pluri'!L29=0,"",'CE statale pluri'!L29)</f>
        <v>3455000</v>
      </c>
      <c r="M29" s="226" t="str">
        <f>IF('CE statale pluri'!M29=0,"",'CE statale pluri'!M29)</f>
        <v/>
      </c>
      <c r="N29" s="340" t="str">
        <f>IF('CE statale pluri'!N29=0,"",'CE statale pluri'!N29)</f>
        <v/>
      </c>
    </row>
    <row r="30" spans="1:14" s="55" customFormat="1" ht="30" customHeight="1" outlineLevel="2">
      <c r="A30" s="209" t="s">
        <v>3560</v>
      </c>
      <c r="B30" s="221"/>
      <c r="C30" s="222"/>
      <c r="D30" s="223"/>
      <c r="E30" s="222" t="s">
        <v>3542</v>
      </c>
      <c r="F30" s="625" t="s">
        <v>5955</v>
      </c>
      <c r="G30" s="626"/>
      <c r="H30" s="225">
        <f>IF('CE statale pluri'!H30=0,"",'CE statale pluri'!H30)</f>
        <v>14567127.709999999</v>
      </c>
      <c r="I30" s="225">
        <f>IF('CE statale pluri'!I30=0,"",'CE statale pluri'!I30)</f>
        <v>14384000</v>
      </c>
      <c r="J30" s="225">
        <f>IF('CE statale pluri'!J30=0,"",'CE statale pluri'!J30)</f>
        <v>14384000</v>
      </c>
      <c r="K30" s="225">
        <f>IF('CE statale pluri'!K30=0,"",'CE statale pluri'!K30)</f>
        <v>14384000</v>
      </c>
      <c r="L30" s="225">
        <f>IF('CE statale pluri'!L30=0,"",'CE statale pluri'!L30)</f>
        <v>14384000</v>
      </c>
      <c r="M30" s="226" t="str">
        <f>IF('CE statale pluri'!M30=0,"",'CE statale pluri'!M30)</f>
        <v/>
      </c>
      <c r="N30" s="340" t="str">
        <f>IF('CE statale pluri'!N30=0,"",'CE statale pluri'!N30)</f>
        <v/>
      </c>
    </row>
    <row r="31" spans="1:14" s="79" customFormat="1">
      <c r="A31" s="209" t="s">
        <v>3562</v>
      </c>
      <c r="B31" s="240"/>
      <c r="C31" s="216" t="s">
        <v>3537</v>
      </c>
      <c r="D31" s="628" t="s">
        <v>2384</v>
      </c>
      <c r="E31" s="628"/>
      <c r="F31" s="628"/>
      <c r="G31" s="629"/>
      <c r="H31" s="217">
        <f>IF('CE statale pluri'!H31=0,"",'CE statale pluri'!H31)</f>
        <v>22147624.57</v>
      </c>
      <c r="I31" s="217">
        <f>IF('CE statale pluri'!I31=0,"",'CE statale pluri'!I31)</f>
        <v>18485000</v>
      </c>
      <c r="J31" s="217">
        <f>IF('CE statale pluri'!J31=0,"",'CE statale pluri'!J31)</f>
        <v>18485000</v>
      </c>
      <c r="K31" s="217">
        <f>IF('CE statale pluri'!K31=0,"",'CE statale pluri'!K31)</f>
        <v>18485000</v>
      </c>
      <c r="L31" s="217">
        <f>IF('CE statale pluri'!L31=0,"",'CE statale pluri'!L31)</f>
        <v>18485000</v>
      </c>
      <c r="M31" s="218" t="str">
        <f>IF('CE statale pluri'!M31=0,"",'CE statale pluri'!M31)</f>
        <v/>
      </c>
      <c r="N31" s="339" t="str">
        <f>IF('CE statale pluri'!N31=0,"",'CE statale pluri'!N31)</f>
        <v/>
      </c>
    </row>
    <row r="32" spans="1:14" s="79" customFormat="1">
      <c r="A32" s="209" t="s">
        <v>3564</v>
      </c>
      <c r="B32" s="240"/>
      <c r="C32" s="216" t="s">
        <v>3540</v>
      </c>
      <c r="D32" s="628" t="s">
        <v>1661</v>
      </c>
      <c r="E32" s="628"/>
      <c r="F32" s="628"/>
      <c r="G32" s="629"/>
      <c r="H32" s="217">
        <f>IF('CE statale pluri'!H32=0,"",'CE statale pluri'!H32)</f>
        <v>20554351.309999999</v>
      </c>
      <c r="I32" s="217">
        <f>IF('CE statale pluri'!I32=0,"",'CE statale pluri'!I32)</f>
        <v>20300000</v>
      </c>
      <c r="J32" s="217">
        <f>IF('CE statale pluri'!J32=0,"",'CE statale pluri'!J32)</f>
        <v>20300000</v>
      </c>
      <c r="K32" s="217">
        <f>IF('CE statale pluri'!K32=0,"",'CE statale pluri'!K32)</f>
        <v>20300000</v>
      </c>
      <c r="L32" s="217">
        <f>IF('CE statale pluri'!L32=0,"",'CE statale pluri'!L32)</f>
        <v>20300000</v>
      </c>
      <c r="M32" s="218" t="str">
        <f>IF('CE statale pluri'!M32=0,"",'CE statale pluri'!M32)</f>
        <v/>
      </c>
      <c r="N32" s="339" t="str">
        <f>IF('CE statale pluri'!N32=0,"",'CE statale pluri'!N32)</f>
        <v/>
      </c>
    </row>
    <row r="33" spans="1:14" s="79" customFormat="1">
      <c r="A33" s="209" t="s">
        <v>3566</v>
      </c>
      <c r="B33" s="240"/>
      <c r="C33" s="216" t="s">
        <v>3567</v>
      </c>
      <c r="D33" s="628" t="s">
        <v>1662</v>
      </c>
      <c r="E33" s="628"/>
      <c r="F33" s="628"/>
      <c r="G33" s="629"/>
      <c r="H33" s="217">
        <f>IF('CE statale pluri'!H33=0,"",'CE statale pluri'!H33)</f>
        <v>25402235.600000001</v>
      </c>
      <c r="I33" s="217">
        <f>IF('CE statale pluri'!I33=0,"",'CE statale pluri'!I33)</f>
        <v>25401000</v>
      </c>
      <c r="J33" s="217">
        <f>IF('CE statale pluri'!J33=0,"",'CE statale pluri'!J33)</f>
        <v>25401000</v>
      </c>
      <c r="K33" s="217">
        <f>IF('CE statale pluri'!K33=0,"",'CE statale pluri'!K33)</f>
        <v>25401000</v>
      </c>
      <c r="L33" s="217">
        <f>IF('CE statale pluri'!L33=0,"",'CE statale pluri'!L33)</f>
        <v>25401000</v>
      </c>
      <c r="M33" s="218" t="str">
        <f>IF('CE statale pluri'!M33=0,"",'CE statale pluri'!M33)</f>
        <v/>
      </c>
      <c r="N33" s="339" t="str">
        <f>IF('CE statale pluri'!N33=0,"",'CE statale pluri'!N33)</f>
        <v/>
      </c>
    </row>
    <row r="34" spans="1:14" s="79" customFormat="1">
      <c r="A34" s="209" t="s">
        <v>3569</v>
      </c>
      <c r="B34" s="240"/>
      <c r="C34" s="216" t="s">
        <v>3570</v>
      </c>
      <c r="D34" s="628" t="s">
        <v>1663</v>
      </c>
      <c r="E34" s="628"/>
      <c r="F34" s="628"/>
      <c r="G34" s="629"/>
      <c r="H34" s="217">
        <f>IF('CE statale pluri'!H34=0,"",'CE statale pluri'!H34)</f>
        <v>27185.11</v>
      </c>
      <c r="I34" s="217" t="str">
        <f>IF('CE statale pluri'!I34=0,"",'CE statale pluri'!I34)</f>
        <v/>
      </c>
      <c r="J34" s="217" t="str">
        <f>IF('CE statale pluri'!J34=0,"",'CE statale pluri'!J34)</f>
        <v/>
      </c>
      <c r="K34" s="217" t="str">
        <f>IF('CE statale pluri'!K34=0,"",'CE statale pluri'!K34)</f>
        <v/>
      </c>
      <c r="L34" s="217" t="str">
        <f>IF('CE statale pluri'!L34=0,"",'CE statale pluri'!L34)</f>
        <v/>
      </c>
      <c r="M34" s="218" t="str">
        <f>IF('CE statale pluri'!M34=0,"",'CE statale pluri'!M34)</f>
        <v/>
      </c>
      <c r="N34" s="339" t="str">
        <f>IF('CE statale pluri'!N34=0,"",'CE statale pluri'!N34)</f>
        <v xml:space="preserve">-    </v>
      </c>
    </row>
    <row r="35" spans="1:14" s="79" customFormat="1">
      <c r="A35" s="209" t="s">
        <v>3572</v>
      </c>
      <c r="B35" s="240"/>
      <c r="C35" s="216" t="s">
        <v>3573</v>
      </c>
      <c r="D35" s="628" t="s">
        <v>1664</v>
      </c>
      <c r="E35" s="628"/>
      <c r="F35" s="628"/>
      <c r="G35" s="629"/>
      <c r="H35" s="217">
        <f>IF('CE statale pluri'!H35=0,"",'CE statale pluri'!H35)</f>
        <v>4631908.5199999996</v>
      </c>
      <c r="I35" s="217">
        <f>IF('CE statale pluri'!I35=0,"",'CE statale pluri'!I35)</f>
        <v>4803600</v>
      </c>
      <c r="J35" s="217">
        <f>IF('CE statale pluri'!J35=0,"",'CE statale pluri'!J35)</f>
        <v>4783600</v>
      </c>
      <c r="K35" s="217">
        <f>IF('CE statale pluri'!K35=0,"",'CE statale pluri'!K35)</f>
        <v>4783600</v>
      </c>
      <c r="L35" s="217">
        <f>IF('CE statale pluri'!L35=0,"",'CE statale pluri'!L35)</f>
        <v>4783600</v>
      </c>
      <c r="M35" s="218">
        <f>IF('CE statale pluri'!M35=0,"",'CE statale pluri'!M35)</f>
        <v>-20000</v>
      </c>
      <c r="N35" s="339">
        <f>IF('CE statale pluri'!N35=0,"",'CE statale pluri'!N35)</f>
        <v>-4.1635440086601715E-3</v>
      </c>
    </row>
    <row r="36" spans="1:14" s="79" customFormat="1">
      <c r="A36" s="209"/>
      <c r="B36" s="241"/>
      <c r="C36" s="242" t="s">
        <v>1665</v>
      </c>
      <c r="D36" s="242"/>
      <c r="E36" s="242"/>
      <c r="F36" s="242"/>
      <c r="G36" s="243"/>
      <c r="H36" s="244">
        <f>IF('CE statale pluri'!H36=0,"",'CE statale pluri'!H36)</f>
        <v>1332758153.0100002</v>
      </c>
      <c r="I36" s="244">
        <f>IF('CE statale pluri'!I36=0,"",'CE statale pluri'!I36)</f>
        <v>1369417706.9300001</v>
      </c>
      <c r="J36" s="244">
        <f>IF('CE statale pluri'!J36=0,"",'CE statale pluri'!J36)</f>
        <v>1385555542.5699999</v>
      </c>
      <c r="K36" s="244">
        <f>IF('CE statale pluri'!K36=0,"",'CE statale pluri'!K36)</f>
        <v>1420783500</v>
      </c>
      <c r="L36" s="244">
        <f>IF('CE statale pluri'!L36=0,"",'CE statale pluri'!L36)</f>
        <v>1449673497.76</v>
      </c>
      <c r="M36" s="245">
        <f>IF('CE statale pluri'!M36=0,"",'CE statale pluri'!M36)</f>
        <v>80255790.829999924</v>
      </c>
      <c r="N36" s="345">
        <f>IF('CE statale pluri'!N36=0,"",'CE statale pluri'!N36)</f>
        <v>5.8605778517293788E-2</v>
      </c>
    </row>
    <row r="37" spans="1:14" s="55" customFormat="1">
      <c r="A37" s="209"/>
      <c r="B37" s="248"/>
      <c r="C37" s="222"/>
      <c r="D37" s="223"/>
      <c r="E37" s="223"/>
      <c r="F37" s="223"/>
      <c r="G37" s="224"/>
      <c r="H37" s="225" t="str">
        <f>IF('CE statale pluri'!H37=0,"",'CE statale pluri'!H37)</f>
        <v/>
      </c>
      <c r="I37" s="225" t="str">
        <f>IF('CE statale pluri'!I37=0,"",'CE statale pluri'!I37)</f>
        <v/>
      </c>
      <c r="J37" s="225" t="str">
        <f>IF('CE statale pluri'!J37=0,"",'CE statale pluri'!J37)</f>
        <v/>
      </c>
      <c r="K37" s="225" t="str">
        <f>IF('CE statale pluri'!K37=0,"",'CE statale pluri'!K37)</f>
        <v/>
      </c>
      <c r="L37" s="225" t="str">
        <f>IF('CE statale pluri'!L37=0,"",'CE statale pluri'!L37)</f>
        <v/>
      </c>
      <c r="M37" s="226" t="str">
        <f>IF('CE statale pluri'!M37=0,"",'CE statale pluri'!M37)</f>
        <v/>
      </c>
      <c r="N37" s="340" t="str">
        <f>IF('CE statale pluri'!N37=0,"",'CE statale pluri'!N37)</f>
        <v/>
      </c>
    </row>
    <row r="38" spans="1:14" s="79" customFormat="1">
      <c r="A38" s="209"/>
      <c r="B38" s="215" t="s">
        <v>2135</v>
      </c>
      <c r="C38" s="630" t="s">
        <v>2177</v>
      </c>
      <c r="D38" s="630"/>
      <c r="E38" s="630"/>
      <c r="F38" s="630"/>
      <c r="G38" s="631"/>
      <c r="H38" s="217" t="str">
        <f>IF('CE statale pluri'!H38=0,"",'CE statale pluri'!H38)</f>
        <v/>
      </c>
      <c r="I38" s="217" t="str">
        <f>IF('CE statale pluri'!I38=0,"",'CE statale pluri'!I38)</f>
        <v/>
      </c>
      <c r="J38" s="217" t="str">
        <f>IF('CE statale pluri'!J38=0,"",'CE statale pluri'!J38)</f>
        <v/>
      </c>
      <c r="K38" s="217" t="str">
        <f>IF('CE statale pluri'!K38=0,"",'CE statale pluri'!K38)</f>
        <v/>
      </c>
      <c r="L38" s="217" t="str">
        <f>IF('CE statale pluri'!L38=0,"",'CE statale pluri'!L38)</f>
        <v/>
      </c>
      <c r="M38" s="218" t="str">
        <f>IF('CE statale pluri'!M38=0,"",'CE statale pluri'!M38)</f>
        <v/>
      </c>
      <c r="N38" s="339" t="str">
        <f>IF('CE statale pluri'!N38=0,"",'CE statale pluri'!N38)</f>
        <v/>
      </c>
    </row>
    <row r="39" spans="1:14" s="79" customFormat="1">
      <c r="A39" s="209"/>
      <c r="B39" s="240"/>
      <c r="C39" s="216" t="s">
        <v>2849</v>
      </c>
      <c r="D39" s="628" t="s">
        <v>5965</v>
      </c>
      <c r="E39" s="628"/>
      <c r="F39" s="628"/>
      <c r="G39" s="629"/>
      <c r="H39" s="217">
        <f>IF('CE statale pluri'!H39=0,"",'CE statale pluri'!H39)</f>
        <v>189893103.14000005</v>
      </c>
      <c r="I39" s="217">
        <f>IF('CE statale pluri'!I39=0,"",'CE statale pluri'!I39)</f>
        <v>201033500</v>
      </c>
      <c r="J39" s="217">
        <f>IF('CE statale pluri'!J39=0,"",'CE statale pluri'!J39)</f>
        <v>209161042.56999999</v>
      </c>
      <c r="K39" s="217">
        <f>IF('CE statale pluri'!K39=0,"",'CE statale pluri'!K39)</f>
        <v>220639000</v>
      </c>
      <c r="L39" s="217">
        <f>IF('CE statale pluri'!L39=0,"",'CE statale pluri'!L39)</f>
        <v>231846997.75999999</v>
      </c>
      <c r="M39" s="218">
        <f>IF('CE statale pluri'!M39=0,"",'CE statale pluri'!M39)</f>
        <v>30813497.75999999</v>
      </c>
      <c r="N39" s="339">
        <f>IF('CE statale pluri'!N39=0,"",'CE statale pluri'!N39)</f>
        <v>0.15327543797426793</v>
      </c>
    </row>
    <row r="40" spans="1:14" s="55" customFormat="1" outlineLevel="1">
      <c r="A40" s="209" t="s">
        <v>2510</v>
      </c>
      <c r="B40" s="221"/>
      <c r="C40" s="222"/>
      <c r="D40" s="223"/>
      <c r="E40" s="222" t="s">
        <v>2851</v>
      </c>
      <c r="F40" s="625" t="s">
        <v>5966</v>
      </c>
      <c r="G40" s="626"/>
      <c r="H40" s="225">
        <f>IF('CE statale pluri'!H40=0,"",'CE statale pluri'!H40)</f>
        <v>171947489.75000003</v>
      </c>
      <c r="I40" s="225">
        <f>IF('CE statale pluri'!I40=0,"",'CE statale pluri'!I40)</f>
        <v>182388500</v>
      </c>
      <c r="J40" s="225">
        <f>IF('CE statale pluri'!J40=0,"",'CE statale pluri'!J40)</f>
        <v>190041042.56999999</v>
      </c>
      <c r="K40" s="225">
        <f>IF('CE statale pluri'!K40=0,"",'CE statale pluri'!K40)</f>
        <v>201028000</v>
      </c>
      <c r="L40" s="225">
        <f>IF('CE statale pluri'!L40=0,"",'CE statale pluri'!L40)</f>
        <v>211728997.75999999</v>
      </c>
      <c r="M40" s="226">
        <f>IF('CE statale pluri'!M40=0,"",'CE statale pluri'!M40)</f>
        <v>29340497.75999999</v>
      </c>
      <c r="N40" s="340">
        <f>IF('CE statale pluri'!N40=0,"",'CE statale pluri'!N40)</f>
        <v>0.16086813455892224</v>
      </c>
    </row>
    <row r="41" spans="1:14" s="55" customFormat="1" outlineLevel="1">
      <c r="A41" s="209" t="s">
        <v>3110</v>
      </c>
      <c r="B41" s="221"/>
      <c r="C41" s="222"/>
      <c r="D41" s="223"/>
      <c r="E41" s="222" t="s">
        <v>2853</v>
      </c>
      <c r="F41" s="625" t="s">
        <v>5967</v>
      </c>
      <c r="G41" s="626"/>
      <c r="H41" s="225">
        <f>IF('CE statale pluri'!H41=0,"",'CE statale pluri'!H41)</f>
        <v>17945613.390000001</v>
      </c>
      <c r="I41" s="225">
        <f>IF('CE statale pluri'!I41=0,"",'CE statale pluri'!I41)</f>
        <v>18645000</v>
      </c>
      <c r="J41" s="225">
        <f>IF('CE statale pluri'!J41=0,"",'CE statale pluri'!J41)</f>
        <v>19120000</v>
      </c>
      <c r="K41" s="225">
        <f>IF('CE statale pluri'!K41=0,"",'CE statale pluri'!K41)</f>
        <v>19611000</v>
      </c>
      <c r="L41" s="225">
        <f>IF('CE statale pluri'!L41=0,"",'CE statale pluri'!L41)</f>
        <v>20118000</v>
      </c>
      <c r="M41" s="226">
        <f>IF('CE statale pluri'!M41=0,"",'CE statale pluri'!M41)</f>
        <v>1473000</v>
      </c>
      <c r="N41" s="340">
        <f>IF('CE statale pluri'!N41=0,"",'CE statale pluri'!N41)</f>
        <v>7.9002413515687847E-2</v>
      </c>
    </row>
    <row r="42" spans="1:14" s="79" customFormat="1">
      <c r="A42" s="209"/>
      <c r="B42" s="240"/>
      <c r="C42" s="216" t="s">
        <v>2858</v>
      </c>
      <c r="D42" s="628" t="s">
        <v>5968</v>
      </c>
      <c r="E42" s="628"/>
      <c r="F42" s="628"/>
      <c r="G42" s="629"/>
      <c r="H42" s="217">
        <f>IF('CE statale pluri'!H42=0,"",'CE statale pluri'!H42)</f>
        <v>336772440.71000004</v>
      </c>
      <c r="I42" s="217">
        <f>IF('CE statale pluri'!I42=0,"",'CE statale pluri'!I42)</f>
        <v>346270000</v>
      </c>
      <c r="J42" s="217">
        <f>IF('CE statale pluri'!J42=0,"",'CE statale pluri'!J42)</f>
        <v>357006000</v>
      </c>
      <c r="K42" s="217">
        <f>IF('CE statale pluri'!K42=0,"",'CE statale pluri'!K42)</f>
        <v>359534000</v>
      </c>
      <c r="L42" s="217">
        <f>IF('CE statale pluri'!L42=0,"",'CE statale pluri'!L42)</f>
        <v>361486000</v>
      </c>
      <c r="M42" s="218">
        <f>IF('CE statale pluri'!M42=0,"",'CE statale pluri'!M42)</f>
        <v>15216000</v>
      </c>
      <c r="N42" s="339">
        <f>IF('CE statale pluri'!N42=0,"",'CE statale pluri'!N42)</f>
        <v>4.3942588153752848E-2</v>
      </c>
    </row>
    <row r="43" spans="1:14" s="55" customFormat="1" outlineLevel="1">
      <c r="A43" s="209" t="s">
        <v>2133</v>
      </c>
      <c r="B43" s="248"/>
      <c r="C43" s="222"/>
      <c r="D43" s="223"/>
      <c r="E43" s="222" t="s">
        <v>2851</v>
      </c>
      <c r="F43" s="625" t="s">
        <v>5969</v>
      </c>
      <c r="G43" s="626"/>
      <c r="H43" s="225">
        <f>IF('CE statale pluri'!H43=0,"",'CE statale pluri'!H43)</f>
        <v>62869563.25999999</v>
      </c>
      <c r="I43" s="225">
        <f>IF('CE statale pluri'!I43=0,"",'CE statale pluri'!I43)</f>
        <v>65542000</v>
      </c>
      <c r="J43" s="225">
        <f>IF('CE statale pluri'!J43=0,"",'CE statale pluri'!J43)</f>
        <v>65820000</v>
      </c>
      <c r="K43" s="225">
        <f>IF('CE statale pluri'!K43=0,"",'CE statale pluri'!K43)</f>
        <v>65820000</v>
      </c>
      <c r="L43" s="225">
        <f>IF('CE statale pluri'!L43=0,"",'CE statale pluri'!L43)</f>
        <v>65820000</v>
      </c>
      <c r="M43" s="226">
        <f>IF('CE statale pluri'!M43=0,"",'CE statale pluri'!M43)</f>
        <v>278000</v>
      </c>
      <c r="N43" s="340">
        <f>IF('CE statale pluri'!N43=0,"",'CE statale pluri'!N43)</f>
        <v>4.2415550334136886E-3</v>
      </c>
    </row>
    <row r="44" spans="1:14" s="55" customFormat="1" outlineLevel="1">
      <c r="A44" s="209" t="s">
        <v>1376</v>
      </c>
      <c r="B44" s="248"/>
      <c r="C44" s="222"/>
      <c r="D44" s="223"/>
      <c r="E44" s="222" t="s">
        <v>2853</v>
      </c>
      <c r="F44" s="625" t="s">
        <v>5970</v>
      </c>
      <c r="G44" s="626"/>
      <c r="H44" s="225">
        <f>IF('CE statale pluri'!H44=0,"",'CE statale pluri'!H44)</f>
        <v>46305529.780000001</v>
      </c>
      <c r="I44" s="225">
        <f>IF('CE statale pluri'!I44=0,"",'CE statale pluri'!I44)</f>
        <v>45555000</v>
      </c>
      <c r="J44" s="225">
        <f>IF('CE statale pluri'!J44=0,"",'CE statale pluri'!J44)</f>
        <v>45548000</v>
      </c>
      <c r="K44" s="225">
        <f>IF('CE statale pluri'!K44=0,"",'CE statale pluri'!K44)</f>
        <v>46048000</v>
      </c>
      <c r="L44" s="225">
        <f>IF('CE statale pluri'!L44=0,"",'CE statale pluri'!L44)</f>
        <v>46048000</v>
      </c>
      <c r="M44" s="226">
        <f>IF('CE statale pluri'!M44=0,"",'CE statale pluri'!M44)</f>
        <v>493000</v>
      </c>
      <c r="N44" s="340">
        <f>IF('CE statale pluri'!N44=0,"",'CE statale pluri'!N44)</f>
        <v>1.0822083196136539E-2</v>
      </c>
    </row>
    <row r="45" spans="1:14" s="55" customFormat="1" ht="30" customHeight="1" outlineLevel="1">
      <c r="A45" s="209" t="s">
        <v>2604</v>
      </c>
      <c r="B45" s="248"/>
      <c r="C45" s="222"/>
      <c r="D45" s="249"/>
      <c r="E45" s="222" t="s">
        <v>3542</v>
      </c>
      <c r="F45" s="625" t="s">
        <v>5971</v>
      </c>
      <c r="G45" s="626"/>
      <c r="H45" s="225">
        <f>IF('CE statale pluri'!H45=0,"",'CE statale pluri'!H45)</f>
        <v>12753148.77</v>
      </c>
      <c r="I45" s="225">
        <f>IF('CE statale pluri'!I45=0,"",'CE statale pluri'!I45)</f>
        <v>15234000</v>
      </c>
      <c r="J45" s="225">
        <f>IF('CE statale pluri'!J45=0,"",'CE statale pluri'!J45)</f>
        <v>17553000</v>
      </c>
      <c r="K45" s="225">
        <f>IF('CE statale pluri'!K45=0,"",'CE statale pluri'!K45)</f>
        <v>17553000</v>
      </c>
      <c r="L45" s="225">
        <f>IF('CE statale pluri'!L45=0,"",'CE statale pluri'!L45)</f>
        <v>17553000</v>
      </c>
      <c r="M45" s="226">
        <f>IF('CE statale pluri'!M45=0,"",'CE statale pluri'!M45)</f>
        <v>2319000</v>
      </c>
      <c r="N45" s="340">
        <f>IF('CE statale pluri'!N45=0,"",'CE statale pluri'!N45)</f>
        <v>0.15222528554549036</v>
      </c>
    </row>
    <row r="46" spans="1:14" s="55" customFormat="1" outlineLevel="1">
      <c r="A46" s="209" t="s">
        <v>2024</v>
      </c>
      <c r="B46" s="248"/>
      <c r="C46" s="222"/>
      <c r="D46" s="249"/>
      <c r="E46" s="222" t="s">
        <v>3550</v>
      </c>
      <c r="F46" s="625" t="s">
        <v>5972</v>
      </c>
      <c r="G46" s="626"/>
      <c r="H46" s="225">
        <f>IF('CE statale pluri'!H46=0,"",'CE statale pluri'!H46)</f>
        <v>98014.1</v>
      </c>
      <c r="I46" s="225">
        <f>IF('CE statale pluri'!I46=0,"",'CE statale pluri'!I46)</f>
        <v>112000</v>
      </c>
      <c r="J46" s="225">
        <f>IF('CE statale pluri'!J46=0,"",'CE statale pluri'!J46)</f>
        <v>112000</v>
      </c>
      <c r="K46" s="225">
        <f>IF('CE statale pluri'!K46=0,"",'CE statale pluri'!K46)</f>
        <v>112000</v>
      </c>
      <c r="L46" s="225">
        <f>IF('CE statale pluri'!L46=0,"",'CE statale pluri'!L46)</f>
        <v>112000</v>
      </c>
      <c r="M46" s="226" t="str">
        <f>IF('CE statale pluri'!M46=0,"",'CE statale pluri'!M46)</f>
        <v/>
      </c>
      <c r="N46" s="340" t="str">
        <f>IF('CE statale pluri'!N46=0,"",'CE statale pluri'!N46)</f>
        <v/>
      </c>
    </row>
    <row r="47" spans="1:14" s="55" customFormat="1" outlineLevel="1">
      <c r="A47" s="209" t="s">
        <v>2074</v>
      </c>
      <c r="B47" s="248"/>
      <c r="C47" s="222"/>
      <c r="D47" s="249"/>
      <c r="E47" s="222" t="s">
        <v>3583</v>
      </c>
      <c r="F47" s="625" t="s">
        <v>5973</v>
      </c>
      <c r="G47" s="626"/>
      <c r="H47" s="225">
        <f>IF('CE statale pluri'!H47=0,"",'CE statale pluri'!H47)</f>
        <v>27666808.720000003</v>
      </c>
      <c r="I47" s="225">
        <f>IF('CE statale pluri'!I47=0,"",'CE statale pluri'!I47)</f>
        <v>28018000</v>
      </c>
      <c r="J47" s="225">
        <f>IF('CE statale pluri'!J47=0,"",'CE statale pluri'!J47)</f>
        <v>28559000</v>
      </c>
      <c r="K47" s="225">
        <f>IF('CE statale pluri'!K47=0,"",'CE statale pluri'!K47)</f>
        <v>28614000</v>
      </c>
      <c r="L47" s="225">
        <f>IF('CE statale pluri'!L47=0,"",'CE statale pluri'!L47)</f>
        <v>28669000</v>
      </c>
      <c r="M47" s="226">
        <f>IF('CE statale pluri'!M47=0,"",'CE statale pluri'!M47)</f>
        <v>651000</v>
      </c>
      <c r="N47" s="340">
        <f>IF('CE statale pluri'!N47=0,"",'CE statale pluri'!N47)</f>
        <v>2.3235063173674065E-2</v>
      </c>
    </row>
    <row r="48" spans="1:14" s="55" customFormat="1" outlineLevel="1">
      <c r="A48" s="209" t="s">
        <v>1951</v>
      </c>
      <c r="B48" s="248"/>
      <c r="C48" s="222"/>
      <c r="D48" s="249"/>
      <c r="E48" s="222" t="s">
        <v>3585</v>
      </c>
      <c r="F48" s="625" t="s">
        <v>5974</v>
      </c>
      <c r="G48" s="626"/>
      <c r="H48" s="225">
        <f>IF('CE statale pluri'!H48=0,"",'CE statale pluri'!H48)</f>
        <v>6737383.9000000004</v>
      </c>
      <c r="I48" s="225">
        <f>IF('CE statale pluri'!I48=0,"",'CE statale pluri'!I48)</f>
        <v>7431000</v>
      </c>
      <c r="J48" s="225">
        <f>IF('CE statale pluri'!J48=0,"",'CE statale pluri'!J48)</f>
        <v>7786000</v>
      </c>
      <c r="K48" s="225">
        <f>IF('CE statale pluri'!K48=0,"",'CE statale pluri'!K48)</f>
        <v>8157000</v>
      </c>
      <c r="L48" s="225">
        <f>IF('CE statale pluri'!L48=0,"",'CE statale pluri'!L48)</f>
        <v>8546000</v>
      </c>
      <c r="M48" s="226">
        <f>IF('CE statale pluri'!M48=0,"",'CE statale pluri'!M48)</f>
        <v>1115000</v>
      </c>
      <c r="N48" s="340">
        <f>IF('CE statale pluri'!N48=0,"",'CE statale pluri'!N48)</f>
        <v>0.15004709998654286</v>
      </c>
    </row>
    <row r="49" spans="1:14" s="55" customFormat="1" outlineLevel="1">
      <c r="A49" s="209" t="s">
        <v>1921</v>
      </c>
      <c r="B49" s="248"/>
      <c r="C49" s="222"/>
      <c r="D49" s="249"/>
      <c r="E49" s="222" t="s">
        <v>3587</v>
      </c>
      <c r="F49" s="625" t="s">
        <v>5975</v>
      </c>
      <c r="G49" s="626"/>
      <c r="H49" s="225">
        <f>IF('CE statale pluri'!H49=0,"",'CE statale pluri'!H49)</f>
        <v>45779234.760000005</v>
      </c>
      <c r="I49" s="225">
        <f>IF('CE statale pluri'!I49=0,"",'CE statale pluri'!I49)</f>
        <v>48473000</v>
      </c>
      <c r="J49" s="225">
        <f>IF('CE statale pluri'!J49=0,"",'CE statale pluri'!J49)</f>
        <v>49974000</v>
      </c>
      <c r="K49" s="225">
        <f>IF('CE statale pluri'!K49=0,"",'CE statale pluri'!K49)</f>
        <v>49979000</v>
      </c>
      <c r="L49" s="225">
        <f>IF('CE statale pluri'!L49=0,"",'CE statale pluri'!L49)</f>
        <v>49984000</v>
      </c>
      <c r="M49" s="226">
        <f>IF('CE statale pluri'!M49=0,"",'CE statale pluri'!M49)</f>
        <v>1511000</v>
      </c>
      <c r="N49" s="340">
        <f>IF('CE statale pluri'!N49=0,"",'CE statale pluri'!N49)</f>
        <v>3.1171992655705239E-2</v>
      </c>
    </row>
    <row r="50" spans="1:14" s="80" customFormat="1" ht="30" customHeight="1" outlineLevel="1">
      <c r="A50" s="209" t="s">
        <v>2003</v>
      </c>
      <c r="B50" s="248"/>
      <c r="C50" s="222"/>
      <c r="D50" s="249"/>
      <c r="E50" s="222" t="s">
        <v>3589</v>
      </c>
      <c r="F50" s="625" t="s">
        <v>5976</v>
      </c>
      <c r="G50" s="626"/>
      <c r="H50" s="225">
        <f>IF('CE statale pluri'!H50=0,"",'CE statale pluri'!H50)</f>
        <v>10052103.300000001</v>
      </c>
      <c r="I50" s="225">
        <f>IF('CE statale pluri'!I50=0,"",'CE statale pluri'!I50)</f>
        <v>10171000</v>
      </c>
      <c r="J50" s="225">
        <f>IF('CE statale pluri'!J50=0,"",'CE statale pluri'!J50)</f>
        <v>10171000</v>
      </c>
      <c r="K50" s="225">
        <f>IF('CE statale pluri'!K50=0,"",'CE statale pluri'!K50)</f>
        <v>10171000</v>
      </c>
      <c r="L50" s="225">
        <f>IF('CE statale pluri'!L50=0,"",'CE statale pluri'!L50)</f>
        <v>10171000</v>
      </c>
      <c r="M50" s="226" t="str">
        <f>IF('CE statale pluri'!M50=0,"",'CE statale pluri'!M50)</f>
        <v/>
      </c>
      <c r="N50" s="340" t="str">
        <f>IF('CE statale pluri'!N50=0,"",'CE statale pluri'!N50)</f>
        <v/>
      </c>
    </row>
    <row r="51" spans="1:14" s="55" customFormat="1" ht="30" customHeight="1" outlineLevel="1">
      <c r="A51" s="209" t="s">
        <v>1395</v>
      </c>
      <c r="B51" s="248"/>
      <c r="C51" s="222"/>
      <c r="D51" s="249"/>
      <c r="E51" s="222" t="s">
        <v>3591</v>
      </c>
      <c r="F51" s="625" t="s">
        <v>5977</v>
      </c>
      <c r="G51" s="626"/>
      <c r="H51" s="225">
        <f>IF('CE statale pluri'!H51=0,"",'CE statale pluri'!H51)</f>
        <v>2635819.73</v>
      </c>
      <c r="I51" s="225">
        <f>IF('CE statale pluri'!I51=0,"",'CE statale pluri'!I51)</f>
        <v>3047000</v>
      </c>
      <c r="J51" s="225">
        <f>IF('CE statale pluri'!J51=0,"",'CE statale pluri'!J51)</f>
        <v>2817000</v>
      </c>
      <c r="K51" s="225">
        <f>IF('CE statale pluri'!K51=0,"",'CE statale pluri'!K51)</f>
        <v>2864000</v>
      </c>
      <c r="L51" s="225">
        <f>IF('CE statale pluri'!L51=0,"",'CE statale pluri'!L51)</f>
        <v>2912000</v>
      </c>
      <c r="M51" s="226">
        <f>IF('CE statale pluri'!M51=0,"",'CE statale pluri'!M51)</f>
        <v>-135000</v>
      </c>
      <c r="N51" s="340">
        <f>IF('CE statale pluri'!N51=0,"",'CE statale pluri'!N51)</f>
        <v>-4.4305874630784378E-2</v>
      </c>
    </row>
    <row r="52" spans="1:14" s="55" customFormat="1" outlineLevel="1">
      <c r="A52" s="209" t="s">
        <v>3593</v>
      </c>
      <c r="B52" s="248"/>
      <c r="C52" s="222"/>
      <c r="D52" s="249"/>
      <c r="E52" s="222" t="s">
        <v>3594</v>
      </c>
      <c r="F52" s="625" t="s">
        <v>5978</v>
      </c>
      <c r="G52" s="626"/>
      <c r="H52" s="225">
        <f>IF('CE statale pluri'!H52=0,"",'CE statale pluri'!H52)</f>
        <v>666963.43999999994</v>
      </c>
      <c r="I52" s="225">
        <f>IF('CE statale pluri'!I52=0,"",'CE statale pluri'!I52)</f>
        <v>707000</v>
      </c>
      <c r="J52" s="225">
        <f>IF('CE statale pluri'!J52=0,"",'CE statale pluri'!J52)</f>
        <v>532000</v>
      </c>
      <c r="K52" s="225">
        <f>IF('CE statale pluri'!K52=0,"",'CE statale pluri'!K52)</f>
        <v>532000</v>
      </c>
      <c r="L52" s="225">
        <f>IF('CE statale pluri'!L52=0,"",'CE statale pluri'!L52)</f>
        <v>532000</v>
      </c>
      <c r="M52" s="226">
        <f>IF('CE statale pluri'!M52=0,"",'CE statale pluri'!M52)</f>
        <v>-175000</v>
      </c>
      <c r="N52" s="340">
        <f>IF('CE statale pluri'!N52=0,"",'CE statale pluri'!N52)</f>
        <v>-0.24752475247524752</v>
      </c>
    </row>
    <row r="53" spans="1:14" s="55" customFormat="1" outlineLevel="1">
      <c r="A53" s="209" t="s">
        <v>3596</v>
      </c>
      <c r="B53" s="248"/>
      <c r="C53" s="222"/>
      <c r="D53" s="249"/>
      <c r="E53" s="222" t="s">
        <v>3597</v>
      </c>
      <c r="F53" s="625" t="s">
        <v>5979</v>
      </c>
      <c r="G53" s="626"/>
      <c r="H53" s="225">
        <f>IF('CE statale pluri'!H53=0,"",'CE statale pluri'!H53)</f>
        <v>31408484.32</v>
      </c>
      <c r="I53" s="225">
        <f>IF('CE statale pluri'!I53=0,"",'CE statale pluri'!I53)</f>
        <v>32175000</v>
      </c>
      <c r="J53" s="225">
        <f>IF('CE statale pluri'!J53=0,"",'CE statale pluri'!J53)</f>
        <v>33093000</v>
      </c>
      <c r="K53" s="225">
        <f>IF('CE statale pluri'!K53=0,"",'CE statale pluri'!K53)</f>
        <v>33740000</v>
      </c>
      <c r="L53" s="225">
        <f>IF('CE statale pluri'!L53=0,"",'CE statale pluri'!L53)</f>
        <v>34400000</v>
      </c>
      <c r="M53" s="226">
        <f>IF('CE statale pluri'!M53=0,"",'CE statale pluri'!M53)</f>
        <v>2225000</v>
      </c>
      <c r="N53" s="340">
        <f>IF('CE statale pluri'!N53=0,"",'CE statale pluri'!N53)</f>
        <v>6.9153069153069152E-2</v>
      </c>
    </row>
    <row r="54" spans="1:14" s="55" customFormat="1" ht="28.5" customHeight="1" outlineLevel="1">
      <c r="A54" s="209" t="s">
        <v>3599</v>
      </c>
      <c r="B54" s="248"/>
      <c r="C54" s="222"/>
      <c r="D54" s="249"/>
      <c r="E54" s="222" t="s">
        <v>3600</v>
      </c>
      <c r="F54" s="625" t="s">
        <v>5980</v>
      </c>
      <c r="G54" s="626"/>
      <c r="H54" s="225">
        <f>IF('CE statale pluri'!H54=0,"",'CE statale pluri'!H54)</f>
        <v>50382651.090000018</v>
      </c>
      <c r="I54" s="225">
        <f>IF('CE statale pluri'!I54=0,"",'CE statale pluri'!I54)</f>
        <v>52498000</v>
      </c>
      <c r="J54" s="225">
        <f>IF('CE statale pluri'!J54=0,"",'CE statale pluri'!J54)</f>
        <v>53623000</v>
      </c>
      <c r="K54" s="225">
        <f>IF('CE statale pluri'!K54=0,"",'CE statale pluri'!K54)</f>
        <v>54462000</v>
      </c>
      <c r="L54" s="225">
        <f>IF('CE statale pluri'!L54=0,"",'CE statale pluri'!L54)</f>
        <v>55192000</v>
      </c>
      <c r="M54" s="226">
        <f>IF('CE statale pluri'!M54=0,"",'CE statale pluri'!M54)</f>
        <v>2694000</v>
      </c>
      <c r="N54" s="340">
        <f>IF('CE statale pluri'!N54=0,"",'CE statale pluri'!N54)</f>
        <v>5.1316240618690237E-2</v>
      </c>
    </row>
    <row r="55" spans="1:14" s="55" customFormat="1" ht="30" customHeight="1" outlineLevel="1">
      <c r="A55" s="209" t="s">
        <v>3602</v>
      </c>
      <c r="B55" s="248"/>
      <c r="C55" s="222"/>
      <c r="D55" s="249"/>
      <c r="E55" s="222" t="s">
        <v>3603</v>
      </c>
      <c r="F55" s="625" t="s">
        <v>1681</v>
      </c>
      <c r="G55" s="626"/>
      <c r="H55" s="225">
        <f>IF('CE statale pluri'!H55=0,"",'CE statale pluri'!H55)</f>
        <v>2012204.97</v>
      </c>
      <c r="I55" s="225">
        <f>IF('CE statale pluri'!I55=0,"",'CE statale pluri'!I55)</f>
        <v>2532000</v>
      </c>
      <c r="J55" s="225">
        <f>IF('CE statale pluri'!J55=0,"",'CE statale pluri'!J55)</f>
        <v>2532000</v>
      </c>
      <c r="K55" s="225">
        <f>IF('CE statale pluri'!K55=0,"",'CE statale pluri'!K55)</f>
        <v>2534000</v>
      </c>
      <c r="L55" s="225">
        <f>IF('CE statale pluri'!L55=0,"",'CE statale pluri'!L55)</f>
        <v>2537000</v>
      </c>
      <c r="M55" s="226">
        <f>IF('CE statale pluri'!M55=0,"",'CE statale pluri'!M55)</f>
        <v>5000</v>
      </c>
      <c r="N55" s="340">
        <f>IF('CE statale pluri'!N55=0,"",'CE statale pluri'!N55)</f>
        <v>1.9747235387045812E-3</v>
      </c>
    </row>
    <row r="56" spans="1:14" s="55" customFormat="1" outlineLevel="1">
      <c r="A56" s="209" t="s">
        <v>3604</v>
      </c>
      <c r="B56" s="248"/>
      <c r="C56" s="222"/>
      <c r="D56" s="249"/>
      <c r="E56" s="222" t="s">
        <v>3605</v>
      </c>
      <c r="F56" s="625" t="s">
        <v>5957</v>
      </c>
      <c r="G56" s="626"/>
      <c r="H56" s="225">
        <f>IF('CE statale pluri'!H56=0,"",'CE statale pluri'!H56)</f>
        <v>5723289.1100000003</v>
      </c>
      <c r="I56" s="225">
        <f>IF('CE statale pluri'!I56=0,"",'CE statale pluri'!I56)</f>
        <v>5908000</v>
      </c>
      <c r="J56" s="225">
        <f>IF('CE statale pluri'!J56=0,"",'CE statale pluri'!J56)</f>
        <v>5903000</v>
      </c>
      <c r="K56" s="225">
        <f>IF('CE statale pluri'!K56=0,"",'CE statale pluri'!K56)</f>
        <v>5906000</v>
      </c>
      <c r="L56" s="225">
        <f>IF('CE statale pluri'!L56=0,"",'CE statale pluri'!L56)</f>
        <v>5908000</v>
      </c>
      <c r="M56" s="226" t="str">
        <f>IF('CE statale pluri'!M56=0,"",'CE statale pluri'!M56)</f>
        <v/>
      </c>
      <c r="N56" s="340" t="str">
        <f>IF('CE statale pluri'!N56=0,"",'CE statale pluri'!N56)</f>
        <v/>
      </c>
    </row>
    <row r="57" spans="1:14" s="55" customFormat="1" ht="30" customHeight="1" outlineLevel="1">
      <c r="A57" s="209" t="s">
        <v>3607</v>
      </c>
      <c r="B57" s="248"/>
      <c r="C57" s="250"/>
      <c r="D57" s="251"/>
      <c r="E57" s="222" t="s">
        <v>3608</v>
      </c>
      <c r="F57" s="625" t="s">
        <v>5981</v>
      </c>
      <c r="G57" s="626"/>
      <c r="H57" s="225">
        <f>IF('CE statale pluri'!H57=0,"",'CE statale pluri'!H57)</f>
        <v>2748896.5899999994</v>
      </c>
      <c r="I57" s="225">
        <f>IF('CE statale pluri'!I57=0,"",'CE statale pluri'!I57)</f>
        <v>2412000</v>
      </c>
      <c r="J57" s="225">
        <f>IF('CE statale pluri'!J57=0,"",'CE statale pluri'!J57)</f>
        <v>2451000</v>
      </c>
      <c r="K57" s="225">
        <f>IF('CE statale pluri'!K57=0,"",'CE statale pluri'!K57)</f>
        <v>2491000</v>
      </c>
      <c r="L57" s="225">
        <f>IF('CE statale pluri'!L57=0,"",'CE statale pluri'!L57)</f>
        <v>2532000</v>
      </c>
      <c r="M57" s="226">
        <f>IF('CE statale pluri'!M57=0,"",'CE statale pluri'!M57)</f>
        <v>120000</v>
      </c>
      <c r="N57" s="340">
        <f>IF('CE statale pluri'!N57=0,"",'CE statale pluri'!N57)</f>
        <v>4.975124378109453E-2</v>
      </c>
    </row>
    <row r="58" spans="1:14" s="55" customFormat="1" ht="30" customHeight="1" outlineLevel="1">
      <c r="A58" s="209" t="s">
        <v>2869</v>
      </c>
      <c r="B58" s="248"/>
      <c r="C58" s="250"/>
      <c r="D58" s="251"/>
      <c r="E58" s="222" t="s">
        <v>2870</v>
      </c>
      <c r="F58" s="625" t="s">
        <v>5982</v>
      </c>
      <c r="G58" s="626"/>
      <c r="H58" s="225">
        <f>IF('CE statale pluri'!H58=0,"",'CE statale pluri'!H58)</f>
        <v>28932344.870000001</v>
      </c>
      <c r="I58" s="225">
        <f>IF('CE statale pluri'!I58=0,"",'CE statale pluri'!I58)</f>
        <v>26455000</v>
      </c>
      <c r="J58" s="225">
        <f>IF('CE statale pluri'!J58=0,"",'CE statale pluri'!J58)</f>
        <v>30532000</v>
      </c>
      <c r="K58" s="225">
        <f>IF('CE statale pluri'!K58=0,"",'CE statale pluri'!K58)</f>
        <v>30551000</v>
      </c>
      <c r="L58" s="225">
        <f>IF('CE statale pluri'!L58=0,"",'CE statale pluri'!L58)</f>
        <v>30570000</v>
      </c>
      <c r="M58" s="226">
        <f>IF('CE statale pluri'!M58=0,"",'CE statale pluri'!M58)</f>
        <v>4115000</v>
      </c>
      <c r="N58" s="340">
        <f>IF('CE statale pluri'!N58=0,"",'CE statale pluri'!N58)</f>
        <v>0.15554715554715554</v>
      </c>
    </row>
    <row r="59" spans="1:14" s="55" customFormat="1" outlineLevel="1">
      <c r="A59" s="209" t="s">
        <v>2872</v>
      </c>
      <c r="B59" s="248"/>
      <c r="C59" s="250"/>
      <c r="D59" s="251"/>
      <c r="E59" s="222" t="s">
        <v>2873</v>
      </c>
      <c r="F59" s="625" t="s">
        <v>1685</v>
      </c>
      <c r="G59" s="626"/>
      <c r="H59" s="225" t="str">
        <f>IF('CE statale pluri'!H59=0,"",'CE statale pluri'!H59)</f>
        <v/>
      </c>
      <c r="I59" s="225" t="str">
        <f>IF('CE statale pluri'!I59=0,"",'CE statale pluri'!I59)</f>
        <v/>
      </c>
      <c r="J59" s="225" t="str">
        <f>IF('CE statale pluri'!J59=0,"",'CE statale pluri'!J59)</f>
        <v/>
      </c>
      <c r="K59" s="225" t="str">
        <f>IF('CE statale pluri'!K59=0,"",'CE statale pluri'!K59)</f>
        <v/>
      </c>
      <c r="L59" s="225" t="str">
        <f>IF('CE statale pluri'!L59=0,"",'CE statale pluri'!L59)</f>
        <v/>
      </c>
      <c r="M59" s="226" t="str">
        <f>IF('CE statale pluri'!M59=0,"",'CE statale pluri'!M59)</f>
        <v/>
      </c>
      <c r="N59" s="340" t="str">
        <f>IF('CE statale pluri'!N59=0,"",'CE statale pluri'!N59)</f>
        <v xml:space="preserve">-    </v>
      </c>
    </row>
    <row r="60" spans="1:14" s="55" customFormat="1">
      <c r="A60" s="209"/>
      <c r="B60" s="248"/>
      <c r="C60" s="216" t="s">
        <v>2861</v>
      </c>
      <c r="D60" s="628" t="s">
        <v>5958</v>
      </c>
      <c r="E60" s="628"/>
      <c r="F60" s="628"/>
      <c r="G60" s="629"/>
      <c r="H60" s="217">
        <f>IF('CE statale pluri'!H60=0,"",'CE statale pluri'!H60)</f>
        <v>64452956.669999987</v>
      </c>
      <c r="I60" s="217">
        <f>IF('CE statale pluri'!I60=0,"",'CE statale pluri'!I60)</f>
        <v>67175000</v>
      </c>
      <c r="J60" s="217">
        <f>IF('CE statale pluri'!J60=0,"",'CE statale pluri'!J60)</f>
        <v>69865500</v>
      </c>
      <c r="K60" s="217">
        <f>IF('CE statale pluri'!K60=0,"",'CE statale pluri'!K60)</f>
        <v>71858500</v>
      </c>
      <c r="L60" s="217">
        <f>IF('CE statale pluri'!L60=0,"",'CE statale pluri'!L60)</f>
        <v>72815500</v>
      </c>
      <c r="M60" s="218">
        <f>IF('CE statale pluri'!M60=0,"",'CE statale pluri'!M60)</f>
        <v>5640500</v>
      </c>
      <c r="N60" s="339">
        <f>IF('CE statale pluri'!N60=0,"",'CE statale pluri'!N60)</f>
        <v>8.3967249720878309E-2</v>
      </c>
    </row>
    <row r="61" spans="1:14" s="55" customFormat="1" outlineLevel="1">
      <c r="A61" s="209" t="s">
        <v>2876</v>
      </c>
      <c r="B61" s="248"/>
      <c r="C61" s="216"/>
      <c r="D61" s="252"/>
      <c r="E61" s="222" t="s">
        <v>2851</v>
      </c>
      <c r="F61" s="625" t="s">
        <v>5959</v>
      </c>
      <c r="G61" s="626"/>
      <c r="H61" s="225">
        <f>IF('CE statale pluri'!H61=0,"",'CE statale pluri'!H61)</f>
        <v>60874003.819999993</v>
      </c>
      <c r="I61" s="225">
        <f>IF('CE statale pluri'!I61=0,"",'CE statale pluri'!I61)</f>
        <v>63535000</v>
      </c>
      <c r="J61" s="225">
        <f>IF('CE statale pluri'!J61=0,"",'CE statale pluri'!J61)</f>
        <v>66205500</v>
      </c>
      <c r="K61" s="225">
        <f>IF('CE statale pluri'!K61=0,"",'CE statale pluri'!K61)</f>
        <v>68198500</v>
      </c>
      <c r="L61" s="225">
        <f>IF('CE statale pluri'!L61=0,"",'CE statale pluri'!L61)</f>
        <v>69155500</v>
      </c>
      <c r="M61" s="226">
        <f>IF('CE statale pluri'!M61=0,"",'CE statale pluri'!M61)</f>
        <v>5620500</v>
      </c>
      <c r="N61" s="340">
        <f>IF('CE statale pluri'!N61=0,"",'CE statale pluri'!N61)</f>
        <v>8.8463051861178879E-2</v>
      </c>
    </row>
    <row r="62" spans="1:14" s="55" customFormat="1" ht="30" customHeight="1" outlineLevel="1">
      <c r="A62" s="209" t="s">
        <v>2878</v>
      </c>
      <c r="B62" s="248"/>
      <c r="C62" s="253"/>
      <c r="D62" s="222"/>
      <c r="E62" s="222" t="s">
        <v>2853</v>
      </c>
      <c r="F62" s="625" t="s">
        <v>5960</v>
      </c>
      <c r="G62" s="626"/>
      <c r="H62" s="225">
        <f>IF('CE statale pluri'!H62=0,"",'CE statale pluri'!H62)</f>
        <v>239480.94</v>
      </c>
      <c r="I62" s="225">
        <f>IF('CE statale pluri'!I62=0,"",'CE statale pluri'!I62)</f>
        <v>301000</v>
      </c>
      <c r="J62" s="225">
        <f>IF('CE statale pluri'!J62=0,"",'CE statale pluri'!J62)</f>
        <v>321000</v>
      </c>
      <c r="K62" s="225">
        <f>IF('CE statale pluri'!K62=0,"",'CE statale pluri'!K62)</f>
        <v>321000</v>
      </c>
      <c r="L62" s="225">
        <f>IF('CE statale pluri'!L62=0,"",'CE statale pluri'!L62)</f>
        <v>321000</v>
      </c>
      <c r="M62" s="226">
        <f>IF('CE statale pluri'!M62=0,"",'CE statale pluri'!M62)</f>
        <v>20000</v>
      </c>
      <c r="N62" s="340">
        <f>IF('CE statale pluri'!N62=0,"",'CE statale pluri'!N62)</f>
        <v>6.6445182724252497E-2</v>
      </c>
    </row>
    <row r="63" spans="1:14" s="55" customFormat="1" outlineLevel="1">
      <c r="A63" s="209" t="s">
        <v>2880</v>
      </c>
      <c r="B63" s="248"/>
      <c r="C63" s="253"/>
      <c r="D63" s="222"/>
      <c r="E63" s="222" t="s">
        <v>3542</v>
      </c>
      <c r="F63" s="625" t="s">
        <v>1689</v>
      </c>
      <c r="G63" s="626"/>
      <c r="H63" s="225">
        <f>IF('CE statale pluri'!H63=0,"",'CE statale pluri'!H63)</f>
        <v>3339471.91</v>
      </c>
      <c r="I63" s="225">
        <f>IF('CE statale pluri'!I63=0,"",'CE statale pluri'!I63)</f>
        <v>3339000</v>
      </c>
      <c r="J63" s="225">
        <f>IF('CE statale pluri'!J63=0,"",'CE statale pluri'!J63)</f>
        <v>3339000</v>
      </c>
      <c r="K63" s="225">
        <f>IF('CE statale pluri'!K63=0,"",'CE statale pluri'!K63)</f>
        <v>3339000</v>
      </c>
      <c r="L63" s="225">
        <f>IF('CE statale pluri'!L63=0,"",'CE statale pluri'!L63)</f>
        <v>3339000</v>
      </c>
      <c r="M63" s="226" t="str">
        <f>IF('CE statale pluri'!M63=0,"",'CE statale pluri'!M63)</f>
        <v/>
      </c>
      <c r="N63" s="340" t="str">
        <f>IF('CE statale pluri'!N63=0,"",'CE statale pluri'!N63)</f>
        <v/>
      </c>
    </row>
    <row r="64" spans="1:14" s="55" customFormat="1">
      <c r="A64" s="209" t="s">
        <v>2882</v>
      </c>
      <c r="B64" s="248"/>
      <c r="C64" s="216" t="s">
        <v>2864</v>
      </c>
      <c r="D64" s="628" t="s">
        <v>1690</v>
      </c>
      <c r="E64" s="628"/>
      <c r="F64" s="628"/>
      <c r="G64" s="629"/>
      <c r="H64" s="217">
        <f>IF('CE statale pluri'!H64=0,"",'CE statale pluri'!H64)</f>
        <v>22081182.43</v>
      </c>
      <c r="I64" s="217">
        <f>IF('CE statale pluri'!I64=0,"",'CE statale pluri'!I64)</f>
        <v>23450000</v>
      </c>
      <c r="J64" s="217">
        <f>IF('CE statale pluri'!J64=0,"",'CE statale pluri'!J64)</f>
        <v>24576000</v>
      </c>
      <c r="K64" s="217">
        <f>IF('CE statale pluri'!K64=0,"",'CE statale pluri'!K64)</f>
        <v>26189000</v>
      </c>
      <c r="L64" s="217">
        <f>IF('CE statale pluri'!L64=0,"",'CE statale pluri'!L64)</f>
        <v>27493000</v>
      </c>
      <c r="M64" s="218">
        <f>IF('CE statale pluri'!M64=0,"",'CE statale pluri'!M64)</f>
        <v>4043000</v>
      </c>
      <c r="N64" s="339">
        <f>IF('CE statale pluri'!N64=0,"",'CE statale pluri'!N64)</f>
        <v>0.17240938166311301</v>
      </c>
    </row>
    <row r="65" spans="1:14" s="79" customFormat="1">
      <c r="A65" s="209" t="s">
        <v>2715</v>
      </c>
      <c r="B65" s="248"/>
      <c r="C65" s="216" t="s">
        <v>3537</v>
      </c>
      <c r="D65" s="628" t="s">
        <v>1473</v>
      </c>
      <c r="E65" s="628"/>
      <c r="F65" s="628"/>
      <c r="G65" s="629"/>
      <c r="H65" s="217">
        <f>IF('CE statale pluri'!H65=0,"",'CE statale pluri'!H65)</f>
        <v>9338326.1600000001</v>
      </c>
      <c r="I65" s="217">
        <f>IF('CE statale pluri'!I65=0,"",'CE statale pluri'!I65)</f>
        <v>9144000</v>
      </c>
      <c r="J65" s="217">
        <f>IF('CE statale pluri'!J65=0,"",'CE statale pluri'!J65)</f>
        <v>10024000</v>
      </c>
      <c r="K65" s="217">
        <f>IF('CE statale pluri'!K65=0,"",'CE statale pluri'!K65)</f>
        <v>9963000</v>
      </c>
      <c r="L65" s="217">
        <f>IF('CE statale pluri'!L65=0,"",'CE statale pluri'!L65)</f>
        <v>10115000</v>
      </c>
      <c r="M65" s="218">
        <f>IF('CE statale pluri'!M65=0,"",'CE statale pluri'!M65)</f>
        <v>971000</v>
      </c>
      <c r="N65" s="339">
        <f>IF('CE statale pluri'!N65=0,"",'CE statale pluri'!N65)</f>
        <v>0.10618985126859143</v>
      </c>
    </row>
    <row r="66" spans="1:14" s="79" customFormat="1">
      <c r="A66" s="209"/>
      <c r="B66" s="248"/>
      <c r="C66" s="216" t="s">
        <v>3540</v>
      </c>
      <c r="D66" s="628" t="s">
        <v>1475</v>
      </c>
      <c r="E66" s="628"/>
      <c r="F66" s="628"/>
      <c r="G66" s="629"/>
      <c r="H66" s="217">
        <f>IF('CE statale pluri'!H66=0,"",'CE statale pluri'!H66)</f>
        <v>619511404.56999993</v>
      </c>
      <c r="I66" s="217">
        <f>IF('CE statale pluri'!I66=0,"",'CE statale pluri'!I66)</f>
        <v>627600000</v>
      </c>
      <c r="J66" s="217">
        <f>IF('CE statale pluri'!J66=0,"",'CE statale pluri'!J66)</f>
        <v>638988000</v>
      </c>
      <c r="K66" s="217">
        <f>IF('CE statale pluri'!K66=0,"",'CE statale pluri'!K66)</f>
        <v>655321000</v>
      </c>
      <c r="L66" s="217">
        <f>IF('CE statale pluri'!L66=0,"",'CE statale pluri'!L66)</f>
        <v>667712000</v>
      </c>
      <c r="M66" s="218">
        <f>IF('CE statale pluri'!M66=0,"",'CE statale pluri'!M66)</f>
        <v>40112000</v>
      </c>
      <c r="N66" s="339">
        <f>IF('CE statale pluri'!N66=0,"",'CE statale pluri'!N66)</f>
        <v>6.3913320586360733E-2</v>
      </c>
    </row>
    <row r="67" spans="1:14" s="55" customFormat="1" outlineLevel="1">
      <c r="A67" s="209" t="s">
        <v>1008</v>
      </c>
      <c r="B67" s="248"/>
      <c r="C67" s="222"/>
      <c r="D67" s="254"/>
      <c r="E67" s="222" t="s">
        <v>2851</v>
      </c>
      <c r="F67" s="625" t="s">
        <v>1691</v>
      </c>
      <c r="G67" s="626"/>
      <c r="H67" s="225">
        <f>IF('CE statale pluri'!H67=0,"",'CE statale pluri'!H67)</f>
        <v>213860302.35000002</v>
      </c>
      <c r="I67" s="225">
        <f>IF('CE statale pluri'!I67=0,"",'CE statale pluri'!I67)</f>
        <v>219904000</v>
      </c>
      <c r="J67" s="225">
        <f>IF('CE statale pluri'!J67=0,"",'CE statale pluri'!J67)</f>
        <v>223621000</v>
      </c>
      <c r="K67" s="225">
        <f>IF('CE statale pluri'!K67=0,"",'CE statale pluri'!K67)</f>
        <v>233164000</v>
      </c>
      <c r="L67" s="225">
        <f>IF('CE statale pluri'!L67=0,"",'CE statale pluri'!L67)</f>
        <v>241142000</v>
      </c>
      <c r="M67" s="226">
        <f>IF('CE statale pluri'!M67=0,"",'CE statale pluri'!M67)</f>
        <v>21238000</v>
      </c>
      <c r="N67" s="340">
        <f>IF('CE statale pluri'!N67=0,"",'CE statale pluri'!N67)</f>
        <v>9.6578506984866128E-2</v>
      </c>
    </row>
    <row r="68" spans="1:14" s="55" customFormat="1" outlineLevel="1">
      <c r="A68" s="209" t="s">
        <v>1031</v>
      </c>
      <c r="B68" s="248"/>
      <c r="C68" s="222"/>
      <c r="D68" s="254"/>
      <c r="E68" s="222" t="s">
        <v>2853</v>
      </c>
      <c r="F68" s="625" t="s">
        <v>1692</v>
      </c>
      <c r="G68" s="626"/>
      <c r="H68" s="225">
        <f>IF('CE statale pluri'!H68=0,"",'CE statale pluri'!H68)</f>
        <v>29554009.040000003</v>
      </c>
      <c r="I68" s="225">
        <f>IF('CE statale pluri'!I68=0,"",'CE statale pluri'!I68)</f>
        <v>30921000</v>
      </c>
      <c r="J68" s="225">
        <f>IF('CE statale pluri'!J68=0,"",'CE statale pluri'!J68)</f>
        <v>31580000</v>
      </c>
      <c r="K68" s="225">
        <f>IF('CE statale pluri'!K68=0,"",'CE statale pluri'!K68)</f>
        <v>31848000</v>
      </c>
      <c r="L68" s="225">
        <f>IF('CE statale pluri'!L68=0,"",'CE statale pluri'!L68)</f>
        <v>31977000</v>
      </c>
      <c r="M68" s="226">
        <f>IF('CE statale pluri'!M68=0,"",'CE statale pluri'!M68)</f>
        <v>1056000</v>
      </c>
      <c r="N68" s="340">
        <f>IF('CE statale pluri'!N68=0,"",'CE statale pluri'!N68)</f>
        <v>3.4151547491995733E-2</v>
      </c>
    </row>
    <row r="69" spans="1:14" s="55" customFormat="1" outlineLevel="1">
      <c r="A69" s="209" t="s">
        <v>1063</v>
      </c>
      <c r="B69" s="248"/>
      <c r="C69" s="222"/>
      <c r="D69" s="254"/>
      <c r="E69" s="222" t="s">
        <v>3542</v>
      </c>
      <c r="F69" s="625" t="s">
        <v>2388</v>
      </c>
      <c r="G69" s="626"/>
      <c r="H69" s="225">
        <f>IF('CE statale pluri'!H69=0,"",'CE statale pluri'!H69)</f>
        <v>239292462.52999994</v>
      </c>
      <c r="I69" s="225">
        <f>IF('CE statale pluri'!I69=0,"",'CE statale pluri'!I69)</f>
        <v>239387000</v>
      </c>
      <c r="J69" s="225">
        <f>IF('CE statale pluri'!J69=0,"",'CE statale pluri'!J69)</f>
        <v>243780000</v>
      </c>
      <c r="K69" s="225">
        <f>IF('CE statale pluri'!K69=0,"",'CE statale pluri'!K69)</f>
        <v>248333000</v>
      </c>
      <c r="L69" s="225">
        <f>IF('CE statale pluri'!L69=0,"",'CE statale pluri'!L69)</f>
        <v>251410000</v>
      </c>
      <c r="M69" s="226">
        <f>IF('CE statale pluri'!M69=0,"",'CE statale pluri'!M69)</f>
        <v>12023000</v>
      </c>
      <c r="N69" s="340">
        <f>IF('CE statale pluri'!N69=0,"",'CE statale pluri'!N69)</f>
        <v>5.0224114091408471E-2</v>
      </c>
    </row>
    <row r="70" spans="1:14" s="55" customFormat="1" outlineLevel="1">
      <c r="A70" s="209" t="s">
        <v>208</v>
      </c>
      <c r="B70" s="248"/>
      <c r="C70" s="222"/>
      <c r="D70" s="254"/>
      <c r="E70" s="222" t="s">
        <v>3550</v>
      </c>
      <c r="F70" s="625" t="s">
        <v>2389</v>
      </c>
      <c r="G70" s="626"/>
      <c r="H70" s="225">
        <f>IF('CE statale pluri'!H70=0,"",'CE statale pluri'!H70)</f>
        <v>8991652.7100000009</v>
      </c>
      <c r="I70" s="225">
        <f>IF('CE statale pluri'!I70=0,"",'CE statale pluri'!I70)</f>
        <v>9254000</v>
      </c>
      <c r="J70" s="225">
        <f>IF('CE statale pluri'!J70=0,"",'CE statale pluri'!J70)</f>
        <v>9309000</v>
      </c>
      <c r="K70" s="225">
        <f>IF('CE statale pluri'!K70=0,"",'CE statale pluri'!K70)</f>
        <v>9345000</v>
      </c>
      <c r="L70" s="225">
        <f>IF('CE statale pluri'!L70=0,"",'CE statale pluri'!L70)</f>
        <v>9407000</v>
      </c>
      <c r="M70" s="226">
        <f>IF('CE statale pluri'!M70=0,"",'CE statale pluri'!M70)</f>
        <v>153000</v>
      </c>
      <c r="N70" s="340">
        <f>IF('CE statale pluri'!N70=0,"",'CE statale pluri'!N70)</f>
        <v>1.6533390966068727E-2</v>
      </c>
    </row>
    <row r="71" spans="1:14" s="55" customFormat="1" outlineLevel="1">
      <c r="A71" s="209" t="s">
        <v>2888</v>
      </c>
      <c r="B71" s="248"/>
      <c r="C71" s="222"/>
      <c r="D71" s="254"/>
      <c r="E71" s="222" t="s">
        <v>3583</v>
      </c>
      <c r="F71" s="625" t="s">
        <v>2390</v>
      </c>
      <c r="G71" s="626"/>
      <c r="H71" s="225">
        <f>IF('CE statale pluri'!H71=0,"",'CE statale pluri'!H71)</f>
        <v>127812977.93999994</v>
      </c>
      <c r="I71" s="225">
        <f>IF('CE statale pluri'!I71=0,"",'CE statale pluri'!I71)</f>
        <v>128134000</v>
      </c>
      <c r="J71" s="225">
        <f>IF('CE statale pluri'!J71=0,"",'CE statale pluri'!J71)</f>
        <v>130698000</v>
      </c>
      <c r="K71" s="225">
        <f>IF('CE statale pluri'!K71=0,"",'CE statale pluri'!K71)</f>
        <v>132631000</v>
      </c>
      <c r="L71" s="225">
        <f>IF('CE statale pluri'!L71=0,"",'CE statale pluri'!L71)</f>
        <v>133776000</v>
      </c>
      <c r="M71" s="226">
        <f>IF('CE statale pluri'!M71=0,"",'CE statale pluri'!M71)</f>
        <v>5642000</v>
      </c>
      <c r="N71" s="340">
        <f>IF('CE statale pluri'!N71=0,"",'CE statale pluri'!N71)</f>
        <v>4.4032028969672371E-2</v>
      </c>
    </row>
    <row r="72" spans="1:14" s="55" customFormat="1">
      <c r="A72" s="209" t="s">
        <v>196</v>
      </c>
      <c r="B72" s="248"/>
      <c r="C72" s="216" t="s">
        <v>3567</v>
      </c>
      <c r="D72" s="628" t="s">
        <v>2391</v>
      </c>
      <c r="E72" s="628"/>
      <c r="F72" s="628"/>
      <c r="G72" s="629"/>
      <c r="H72" s="217">
        <f>IF('CE statale pluri'!H72=0,"",'CE statale pluri'!H72)</f>
        <v>3413737.72</v>
      </c>
      <c r="I72" s="217">
        <f>IF('CE statale pluri'!I72=0,"",'CE statale pluri'!I72)</f>
        <v>3443000</v>
      </c>
      <c r="J72" s="217">
        <f>IF('CE statale pluri'!J72=0,"",'CE statale pluri'!J72)</f>
        <v>3526500</v>
      </c>
      <c r="K72" s="217">
        <f>IF('CE statale pluri'!K72=0,"",'CE statale pluri'!K72)</f>
        <v>3537500</v>
      </c>
      <c r="L72" s="217">
        <f>IF('CE statale pluri'!L72=0,"",'CE statale pluri'!L72)</f>
        <v>3548500</v>
      </c>
      <c r="M72" s="218">
        <f>IF('CE statale pluri'!M72=0,"",'CE statale pluri'!M72)</f>
        <v>105500</v>
      </c>
      <c r="N72" s="339">
        <f>IF('CE statale pluri'!N72=0,"",'CE statale pluri'!N72)</f>
        <v>3.064188207958176E-2</v>
      </c>
    </row>
    <row r="73" spans="1:14" s="79" customFormat="1">
      <c r="A73" s="209"/>
      <c r="B73" s="248"/>
      <c r="C73" s="216" t="s">
        <v>3570</v>
      </c>
      <c r="D73" s="628" t="s">
        <v>975</v>
      </c>
      <c r="E73" s="628"/>
      <c r="F73" s="628"/>
      <c r="G73" s="629"/>
      <c r="H73" s="217">
        <f>IF('CE statale pluri'!H73=0,"",'CE statale pluri'!H73)</f>
        <v>26062872</v>
      </c>
      <c r="I73" s="217">
        <f>IF('CE statale pluri'!I73=0,"",'CE statale pluri'!I73)</f>
        <v>26064000</v>
      </c>
      <c r="J73" s="217">
        <f>IF('CE statale pluri'!J73=0,"",'CE statale pluri'!J73)</f>
        <v>26864000</v>
      </c>
      <c r="K73" s="217">
        <f>IF('CE statale pluri'!K73=0,"",'CE statale pluri'!K73)</f>
        <v>28064000</v>
      </c>
      <c r="L73" s="217">
        <f>IF('CE statale pluri'!L73=0,"",'CE statale pluri'!L73)</f>
        <v>28864000</v>
      </c>
      <c r="M73" s="218">
        <f>IF('CE statale pluri'!M73=0,"",'CE statale pluri'!M73)</f>
        <v>2800000</v>
      </c>
      <c r="N73" s="339">
        <f>IF('CE statale pluri'!N73=0,"",'CE statale pluri'!N73)</f>
        <v>0.10742786985880909</v>
      </c>
    </row>
    <row r="74" spans="1:14" s="55" customFormat="1" outlineLevel="1">
      <c r="A74" s="209" t="s">
        <v>2891</v>
      </c>
      <c r="B74" s="248"/>
      <c r="C74" s="222"/>
      <c r="D74" s="254"/>
      <c r="E74" s="222" t="s">
        <v>2851</v>
      </c>
      <c r="F74" s="625" t="s">
        <v>2392</v>
      </c>
      <c r="G74" s="626"/>
      <c r="H74" s="225">
        <f>IF('CE statale pluri'!H74=0,"",'CE statale pluri'!H74)</f>
        <v>10343209.210000001</v>
      </c>
      <c r="I74" s="225">
        <f>IF('CE statale pluri'!I74=0,"",'CE statale pluri'!I74)</f>
        <v>10344000</v>
      </c>
      <c r="J74" s="225">
        <f>IF('CE statale pluri'!J74=0,"",'CE statale pluri'!J74)</f>
        <v>11144000</v>
      </c>
      <c r="K74" s="225">
        <f>IF('CE statale pluri'!K74=0,"",'CE statale pluri'!K74)</f>
        <v>12344000</v>
      </c>
      <c r="L74" s="225">
        <f>IF('CE statale pluri'!L74=0,"",'CE statale pluri'!L74)</f>
        <v>13144000</v>
      </c>
      <c r="M74" s="226">
        <f>IF('CE statale pluri'!M74=0,"",'CE statale pluri'!M74)</f>
        <v>2800000</v>
      </c>
      <c r="N74" s="340">
        <f>IF('CE statale pluri'!N74=0,"",'CE statale pluri'!N74)</f>
        <v>0.27068832173240526</v>
      </c>
    </row>
    <row r="75" spans="1:14" s="79" customFormat="1" outlineLevel="1">
      <c r="A75" s="209" t="s">
        <v>2893</v>
      </c>
      <c r="B75" s="240"/>
      <c r="C75" s="216"/>
      <c r="D75" s="256"/>
      <c r="E75" s="222" t="s">
        <v>2853</v>
      </c>
      <c r="F75" s="625" t="s">
        <v>2393</v>
      </c>
      <c r="G75" s="626"/>
      <c r="H75" s="217" t="str">
        <f>IF('CE statale pluri'!H75=0,"",'CE statale pluri'!H75)</f>
        <v/>
      </c>
      <c r="I75" s="217" t="str">
        <f>IF('CE statale pluri'!I75=0,"",'CE statale pluri'!I75)</f>
        <v/>
      </c>
      <c r="J75" s="217" t="str">
        <f>IF('CE statale pluri'!J75=0,"",'CE statale pluri'!J75)</f>
        <v/>
      </c>
      <c r="K75" s="217" t="str">
        <f>IF('CE statale pluri'!K75=0,"",'CE statale pluri'!K75)</f>
        <v/>
      </c>
      <c r="L75" s="217" t="str">
        <f>IF('CE statale pluri'!L75=0,"",'CE statale pluri'!L75)</f>
        <v/>
      </c>
      <c r="M75" s="218" t="str">
        <f>IF('CE statale pluri'!M75=0,"",'CE statale pluri'!M75)</f>
        <v/>
      </c>
      <c r="N75" s="339" t="str">
        <f>IF('CE statale pluri'!N75=0,"",'CE statale pluri'!N75)</f>
        <v xml:space="preserve">-    </v>
      </c>
    </row>
    <row r="76" spans="1:14" s="79" customFormat="1" outlineLevel="1">
      <c r="A76" s="209" t="s">
        <v>2895</v>
      </c>
      <c r="B76" s="240"/>
      <c r="C76" s="216"/>
      <c r="D76" s="256"/>
      <c r="E76" s="222" t="s">
        <v>3542</v>
      </c>
      <c r="F76" s="625" t="s">
        <v>2394</v>
      </c>
      <c r="G76" s="626"/>
      <c r="H76" s="225">
        <f>IF('CE statale pluri'!H76=0,"",'CE statale pluri'!H76)</f>
        <v>15719662.789999999</v>
      </c>
      <c r="I76" s="225">
        <f>IF('CE statale pluri'!I76=0,"",'CE statale pluri'!I76)</f>
        <v>15720000</v>
      </c>
      <c r="J76" s="225">
        <f>IF('CE statale pluri'!J76=0,"",'CE statale pluri'!J76)</f>
        <v>15720000</v>
      </c>
      <c r="K76" s="225">
        <f>IF('CE statale pluri'!K76=0,"",'CE statale pluri'!K76)</f>
        <v>15720000</v>
      </c>
      <c r="L76" s="225">
        <f>IF('CE statale pluri'!L76=0,"",'CE statale pluri'!L76)</f>
        <v>15720000</v>
      </c>
      <c r="M76" s="226" t="str">
        <f>IF('CE statale pluri'!M76=0,"",'CE statale pluri'!M76)</f>
        <v/>
      </c>
      <c r="N76" s="340" t="str">
        <f>IF('CE statale pluri'!N76=0,"",'CE statale pluri'!N76)</f>
        <v/>
      </c>
    </row>
    <row r="77" spans="1:14" s="79" customFormat="1">
      <c r="A77" s="209" t="s">
        <v>1073</v>
      </c>
      <c r="B77" s="240"/>
      <c r="C77" s="216" t="s">
        <v>3573</v>
      </c>
      <c r="D77" s="628" t="s">
        <v>2395</v>
      </c>
      <c r="E77" s="628"/>
      <c r="F77" s="628"/>
      <c r="G77" s="629"/>
      <c r="H77" s="217">
        <f>IF('CE statale pluri'!H77=0,"",'CE statale pluri'!H77)</f>
        <v>965046.87</v>
      </c>
      <c r="I77" s="217">
        <f>IF('CE statale pluri'!I77=0,"",'CE statale pluri'!I77)</f>
        <v>1050000</v>
      </c>
      <c r="J77" s="217">
        <f>IF('CE statale pluri'!J77=0,"",'CE statale pluri'!J77)</f>
        <v>1050000</v>
      </c>
      <c r="K77" s="217">
        <f>IF('CE statale pluri'!K77=0,"",'CE statale pluri'!K77)</f>
        <v>1050000</v>
      </c>
      <c r="L77" s="217">
        <f>IF('CE statale pluri'!L77=0,"",'CE statale pluri'!L77)</f>
        <v>1050000</v>
      </c>
      <c r="M77" s="218" t="str">
        <f>IF('CE statale pluri'!M77=0,"",'CE statale pluri'!M77)</f>
        <v/>
      </c>
      <c r="N77" s="339" t="str">
        <f>IF('CE statale pluri'!N77=0,"",'CE statale pluri'!N77)</f>
        <v/>
      </c>
    </row>
    <row r="78" spans="1:14" s="79" customFormat="1">
      <c r="A78" s="209"/>
      <c r="B78" s="240"/>
      <c r="C78" s="216" t="s">
        <v>2897</v>
      </c>
      <c r="D78" s="628" t="s">
        <v>1477</v>
      </c>
      <c r="E78" s="628"/>
      <c r="F78" s="628"/>
      <c r="G78" s="629"/>
      <c r="H78" s="217">
        <f>IF('CE statale pluri'!H78=0,"",'CE statale pluri'!H78)</f>
        <v>-1871889.1600000001</v>
      </c>
      <c r="I78" s="217">
        <f>IF('CE statale pluri'!I78=0,"",'CE statale pluri'!I78)</f>
        <v>155000</v>
      </c>
      <c r="J78" s="217">
        <f>IF('CE statale pluri'!J78=0,"",'CE statale pluri'!J78)</f>
        <v>155000</v>
      </c>
      <c r="K78" s="217">
        <f>IF('CE statale pluri'!K78=0,"",'CE statale pluri'!K78)</f>
        <v>155000</v>
      </c>
      <c r="L78" s="217">
        <f>IF('CE statale pluri'!L78=0,"",'CE statale pluri'!L78)</f>
        <v>155000</v>
      </c>
      <c r="M78" s="218" t="str">
        <f>IF('CE statale pluri'!M78=0,"",'CE statale pluri'!M78)</f>
        <v/>
      </c>
      <c r="N78" s="339" t="str">
        <f>IF('CE statale pluri'!N78=0,"",'CE statale pluri'!N78)</f>
        <v/>
      </c>
    </row>
    <row r="79" spans="1:14" s="55" customFormat="1" outlineLevel="2">
      <c r="A79" s="209" t="s">
        <v>2898</v>
      </c>
      <c r="B79" s="257"/>
      <c r="C79" s="250"/>
      <c r="D79" s="254"/>
      <c r="E79" s="222" t="s">
        <v>2851</v>
      </c>
      <c r="F79" s="625" t="s">
        <v>5961</v>
      </c>
      <c r="G79" s="626"/>
      <c r="H79" s="225">
        <f>IF('CE statale pluri'!H79=0,"",'CE statale pluri'!H79)</f>
        <v>-1880572.1600000001</v>
      </c>
      <c r="I79" s="225">
        <f>IF('CE statale pluri'!I79=0,"",'CE statale pluri'!I79)</f>
        <v>110000</v>
      </c>
      <c r="J79" s="225">
        <f>IF('CE statale pluri'!J79=0,"",'CE statale pluri'!J79)</f>
        <v>110000</v>
      </c>
      <c r="K79" s="225">
        <f>IF('CE statale pluri'!K79=0,"",'CE statale pluri'!K79)</f>
        <v>110000</v>
      </c>
      <c r="L79" s="225">
        <f>IF('CE statale pluri'!L79=0,"",'CE statale pluri'!L79)</f>
        <v>110000</v>
      </c>
      <c r="M79" s="226" t="str">
        <f>IF('CE statale pluri'!M79=0,"",'CE statale pluri'!M79)</f>
        <v/>
      </c>
      <c r="N79" s="340" t="str">
        <f>IF('CE statale pluri'!N79=0,"",'CE statale pluri'!N79)</f>
        <v/>
      </c>
    </row>
    <row r="80" spans="1:14" s="55" customFormat="1" outlineLevel="2">
      <c r="A80" s="209" t="s">
        <v>2900</v>
      </c>
      <c r="B80" s="257"/>
      <c r="C80" s="250"/>
      <c r="D80" s="254"/>
      <c r="E80" s="222" t="s">
        <v>2853</v>
      </c>
      <c r="F80" s="625" t="s">
        <v>5962</v>
      </c>
      <c r="G80" s="626"/>
      <c r="H80" s="225">
        <f>IF('CE statale pluri'!H80=0,"",'CE statale pluri'!H80)</f>
        <v>8682.9999999999927</v>
      </c>
      <c r="I80" s="225">
        <f>IF('CE statale pluri'!I80=0,"",'CE statale pluri'!I80)</f>
        <v>45000</v>
      </c>
      <c r="J80" s="225">
        <f>IF('CE statale pluri'!J80=0,"",'CE statale pluri'!J80)</f>
        <v>45000</v>
      </c>
      <c r="K80" s="225">
        <f>IF('CE statale pluri'!K80=0,"",'CE statale pluri'!K80)</f>
        <v>45000</v>
      </c>
      <c r="L80" s="225">
        <f>IF('CE statale pluri'!L80=0,"",'CE statale pluri'!L80)</f>
        <v>45000</v>
      </c>
      <c r="M80" s="226" t="str">
        <f>IF('CE statale pluri'!M80=0,"",'CE statale pluri'!M80)</f>
        <v/>
      </c>
      <c r="N80" s="340" t="str">
        <f>IF('CE statale pluri'!N80=0,"",'CE statale pluri'!N80)</f>
        <v/>
      </c>
    </row>
    <row r="81" spans="1:14" s="79" customFormat="1">
      <c r="A81" s="209"/>
      <c r="B81" s="257"/>
      <c r="C81" s="216" t="s">
        <v>2902</v>
      </c>
      <c r="D81" s="628" t="s">
        <v>2398</v>
      </c>
      <c r="E81" s="628"/>
      <c r="F81" s="628"/>
      <c r="G81" s="629"/>
      <c r="H81" s="217">
        <f>IF('CE statale pluri'!H81=0,"",'CE statale pluri'!H81)</f>
        <v>11300394.59</v>
      </c>
      <c r="I81" s="217">
        <f>IF('CE statale pluri'!I81=0,"",'CE statale pluri'!I81)</f>
        <v>8722000</v>
      </c>
      <c r="J81" s="217">
        <f>IF('CE statale pluri'!J81=0,"",'CE statale pluri'!J81)</f>
        <v>8722000</v>
      </c>
      <c r="K81" s="217">
        <f>IF('CE statale pluri'!K81=0,"",'CE statale pluri'!K81)</f>
        <v>8722000</v>
      </c>
      <c r="L81" s="217">
        <f>IF('CE statale pluri'!L81=0,"",'CE statale pluri'!L81)</f>
        <v>8722000</v>
      </c>
      <c r="M81" s="218" t="str">
        <f>IF('CE statale pluri'!M81=0,"",'CE statale pluri'!M81)</f>
        <v/>
      </c>
      <c r="N81" s="339" t="str">
        <f>IF('CE statale pluri'!N81=0,"",'CE statale pluri'!N81)</f>
        <v/>
      </c>
    </row>
    <row r="82" spans="1:14" s="55" customFormat="1" outlineLevel="1">
      <c r="A82" s="209" t="s">
        <v>2904</v>
      </c>
      <c r="B82" s="257"/>
      <c r="C82" s="250"/>
      <c r="D82" s="254"/>
      <c r="E82" s="222" t="s">
        <v>2851</v>
      </c>
      <c r="F82" s="625" t="s">
        <v>1479</v>
      </c>
      <c r="G82" s="626"/>
      <c r="H82" s="225">
        <f>IF('CE statale pluri'!H82=0,"",'CE statale pluri'!H82)</f>
        <v>400822.15</v>
      </c>
      <c r="I82" s="225">
        <f>IF('CE statale pluri'!I82=0,"",'CE statale pluri'!I82)</f>
        <v>228000</v>
      </c>
      <c r="J82" s="225">
        <f>IF('CE statale pluri'!J82=0,"",'CE statale pluri'!J82)</f>
        <v>228000</v>
      </c>
      <c r="K82" s="225">
        <f>IF('CE statale pluri'!K82=0,"",'CE statale pluri'!K82)</f>
        <v>228000</v>
      </c>
      <c r="L82" s="225">
        <f>IF('CE statale pluri'!L82=0,"",'CE statale pluri'!L82)</f>
        <v>228000</v>
      </c>
      <c r="M82" s="226" t="str">
        <f>IF('CE statale pluri'!M82=0,"",'CE statale pluri'!M82)</f>
        <v/>
      </c>
      <c r="N82" s="340" t="str">
        <f>IF('CE statale pluri'!N82=0,"",'CE statale pluri'!N82)</f>
        <v/>
      </c>
    </row>
    <row r="83" spans="1:14" s="55" customFormat="1" outlineLevel="1">
      <c r="A83" s="209" t="s">
        <v>2905</v>
      </c>
      <c r="B83" s="257"/>
      <c r="C83" s="250"/>
      <c r="D83" s="254"/>
      <c r="E83" s="222" t="s">
        <v>2853</v>
      </c>
      <c r="F83" s="625" t="s">
        <v>2399</v>
      </c>
      <c r="G83" s="626"/>
      <c r="H83" s="225">
        <f>IF('CE statale pluri'!H83=0,"",'CE statale pluri'!H83)</f>
        <v>25000</v>
      </c>
      <c r="I83" s="225">
        <f>IF('CE statale pluri'!I83=0,"",'CE statale pluri'!I83)</f>
        <v>50000</v>
      </c>
      <c r="J83" s="225">
        <f>IF('CE statale pluri'!J83=0,"",'CE statale pluri'!J83)</f>
        <v>50000</v>
      </c>
      <c r="K83" s="225">
        <f>IF('CE statale pluri'!K83=0,"",'CE statale pluri'!K83)</f>
        <v>50000</v>
      </c>
      <c r="L83" s="225">
        <f>IF('CE statale pluri'!L83=0,"",'CE statale pluri'!L83)</f>
        <v>50000</v>
      </c>
      <c r="M83" s="226" t="str">
        <f>IF('CE statale pluri'!M83=0,"",'CE statale pluri'!M83)</f>
        <v/>
      </c>
      <c r="N83" s="340" t="str">
        <f>IF('CE statale pluri'!N83=0,"",'CE statale pluri'!N83)</f>
        <v/>
      </c>
    </row>
    <row r="84" spans="1:14" s="55" customFormat="1" ht="30" customHeight="1" outlineLevel="1">
      <c r="A84" s="209" t="s">
        <v>2907</v>
      </c>
      <c r="B84" s="257"/>
      <c r="C84" s="250"/>
      <c r="D84" s="254"/>
      <c r="E84" s="222" t="s">
        <v>3542</v>
      </c>
      <c r="F84" s="625" t="s">
        <v>2400</v>
      </c>
      <c r="G84" s="626"/>
      <c r="H84" s="225">
        <f>IF('CE statale pluri'!H84=0,"",'CE statale pluri'!H84)</f>
        <v>78942.33</v>
      </c>
      <c r="I84" s="225" t="str">
        <f>IF('CE statale pluri'!I84=0,"",'CE statale pluri'!I84)</f>
        <v/>
      </c>
      <c r="J84" s="225" t="str">
        <f>IF('CE statale pluri'!J84=0,"",'CE statale pluri'!J84)</f>
        <v/>
      </c>
      <c r="K84" s="225" t="str">
        <f>IF('CE statale pluri'!K84=0,"",'CE statale pluri'!K84)</f>
        <v/>
      </c>
      <c r="L84" s="225" t="str">
        <f>IF('CE statale pluri'!L84=0,"",'CE statale pluri'!L84)</f>
        <v/>
      </c>
      <c r="M84" s="226" t="str">
        <f>IF('CE statale pluri'!M84=0,"",'CE statale pluri'!M84)</f>
        <v/>
      </c>
      <c r="N84" s="340" t="str">
        <f>IF('CE statale pluri'!N84=0,"",'CE statale pluri'!N84)</f>
        <v xml:space="preserve">-    </v>
      </c>
    </row>
    <row r="85" spans="1:14" s="55" customFormat="1" outlineLevel="1">
      <c r="A85" s="209" t="s">
        <v>2909</v>
      </c>
      <c r="B85" s="257"/>
      <c r="C85" s="250"/>
      <c r="D85" s="254"/>
      <c r="E85" s="222" t="s">
        <v>3550</v>
      </c>
      <c r="F85" s="625" t="s">
        <v>1481</v>
      </c>
      <c r="G85" s="626"/>
      <c r="H85" s="225">
        <f>IF('CE statale pluri'!H85=0,"",'CE statale pluri'!H85)</f>
        <v>10795630.109999999</v>
      </c>
      <c r="I85" s="225">
        <f>IF('CE statale pluri'!I85=0,"",'CE statale pluri'!I85)</f>
        <v>8444000</v>
      </c>
      <c r="J85" s="225">
        <f>IF('CE statale pluri'!J85=0,"",'CE statale pluri'!J85)</f>
        <v>8444000</v>
      </c>
      <c r="K85" s="225">
        <f>IF('CE statale pluri'!K85=0,"",'CE statale pluri'!K85)</f>
        <v>8444000</v>
      </c>
      <c r="L85" s="225">
        <f>IF('CE statale pluri'!L85=0,"",'CE statale pluri'!L85)</f>
        <v>8444000</v>
      </c>
      <c r="M85" s="226" t="str">
        <f>IF('CE statale pluri'!M85=0,"",'CE statale pluri'!M85)</f>
        <v/>
      </c>
      <c r="N85" s="340" t="str">
        <f>IF('CE statale pluri'!N85=0,"",'CE statale pluri'!N85)</f>
        <v/>
      </c>
    </row>
    <row r="86" spans="1:14" s="79" customFormat="1">
      <c r="A86" s="209"/>
      <c r="B86" s="241"/>
      <c r="C86" s="242" t="s">
        <v>2401</v>
      </c>
      <c r="D86" s="242"/>
      <c r="E86" s="242"/>
      <c r="F86" s="242"/>
      <c r="G86" s="243"/>
      <c r="H86" s="244">
        <f>IF('CE statale pluri'!H86=0,"",'CE statale pluri'!H86)</f>
        <v>1281919575.6999996</v>
      </c>
      <c r="I86" s="244">
        <f>IF('CE statale pluri'!I86=0,"",'CE statale pluri'!I86)</f>
        <v>1314106500</v>
      </c>
      <c r="J86" s="244">
        <f>IF('CE statale pluri'!J86=0,"",'CE statale pluri'!J86)</f>
        <v>1349938042.5699999</v>
      </c>
      <c r="K86" s="244">
        <f>IF('CE statale pluri'!K86=0,"",'CE statale pluri'!K86)</f>
        <v>1385033000</v>
      </c>
      <c r="L86" s="244">
        <f>IF('CE statale pluri'!L86=0,"",'CE statale pluri'!L86)</f>
        <v>1413807997.76</v>
      </c>
      <c r="M86" s="245">
        <f>IF('CE statale pluri'!M86=0,"",'CE statale pluri'!M86)</f>
        <v>99701497.75999999</v>
      </c>
      <c r="N86" s="345">
        <f>IF('CE statale pluri'!N86=0,"",'CE statale pluri'!N86)</f>
        <v>7.5870180811068194E-2</v>
      </c>
    </row>
    <row r="87" spans="1:14" s="55" customFormat="1" ht="15.75" thickBot="1">
      <c r="A87" s="209"/>
      <c r="B87" s="257"/>
      <c r="C87" s="222"/>
      <c r="D87" s="254"/>
      <c r="E87" s="251"/>
      <c r="F87" s="254"/>
      <c r="G87" s="255"/>
      <c r="H87" s="225" t="str">
        <f>IF('CE statale pluri'!H87=0,"",'CE statale pluri'!H87)</f>
        <v/>
      </c>
      <c r="I87" s="225" t="str">
        <f>IF('CE statale pluri'!I87=0,"",'CE statale pluri'!I87)</f>
        <v/>
      </c>
      <c r="J87" s="225" t="str">
        <f>IF('CE statale pluri'!J87=0,"",'CE statale pluri'!J87)</f>
        <v/>
      </c>
      <c r="K87" s="225" t="str">
        <f>IF('CE statale pluri'!K87=0,"",'CE statale pluri'!K87)</f>
        <v/>
      </c>
      <c r="L87" s="225" t="str">
        <f>IF('CE statale pluri'!L87=0,"",'CE statale pluri'!L87)</f>
        <v/>
      </c>
      <c r="M87" s="226" t="str">
        <f>IF('CE statale pluri'!M87=0,"",'CE statale pluri'!M87)</f>
        <v/>
      </c>
      <c r="N87" s="340" t="str">
        <f>IF('CE statale pluri'!N87=0,"",'CE statale pluri'!N87)</f>
        <v xml:space="preserve">-    </v>
      </c>
    </row>
    <row r="88" spans="1:14" s="81" customFormat="1" ht="16.5" thickTop="1" thickBot="1">
      <c r="A88" s="258"/>
      <c r="B88" s="635" t="s">
        <v>2402</v>
      </c>
      <c r="C88" s="636"/>
      <c r="D88" s="636"/>
      <c r="E88" s="636"/>
      <c r="F88" s="636"/>
      <c r="G88" s="637"/>
      <c r="H88" s="262">
        <f>IF('CE statale pluri'!H88=0,"",'CE statale pluri'!H88)</f>
        <v>50838577.310000658</v>
      </c>
      <c r="I88" s="262">
        <f>IF('CE statale pluri'!I88=0,"",'CE statale pluri'!I88)</f>
        <v>55311206.930000067</v>
      </c>
      <c r="J88" s="262">
        <f>IF('CE statale pluri'!J88=0,"",'CE statale pluri'!J88)</f>
        <v>35617500</v>
      </c>
      <c r="K88" s="262">
        <f>IF('CE statale pluri'!K88=0,"",'CE statale pluri'!K88)</f>
        <v>35750500</v>
      </c>
      <c r="L88" s="262">
        <f>IF('CE statale pluri'!L88=0,"",'CE statale pluri'!L88)</f>
        <v>35865500</v>
      </c>
      <c r="M88" s="263">
        <f>IF('CE statale pluri'!M88=0,"",'CE statale pluri'!M88)</f>
        <v>-19445706.930000067</v>
      </c>
      <c r="N88" s="346">
        <f>IF('CE statale pluri'!N88=0,"",'CE statale pluri'!N88)</f>
        <v>-0.35156902207196228</v>
      </c>
    </row>
    <row r="89" spans="1:14" s="81" customFormat="1" ht="15.75" thickTop="1">
      <c r="A89" s="258"/>
      <c r="B89" s="267"/>
      <c r="C89" s="268"/>
      <c r="D89" s="268"/>
      <c r="E89" s="269"/>
      <c r="F89" s="270"/>
      <c r="G89" s="271"/>
      <c r="H89" s="272" t="str">
        <f>IF('CE statale pluri'!H89=0,"",'CE statale pluri'!H89)</f>
        <v/>
      </c>
      <c r="I89" s="272" t="str">
        <f>IF('CE statale pluri'!I89=0,"",'CE statale pluri'!I89)</f>
        <v/>
      </c>
      <c r="J89" s="272" t="str">
        <f>IF('CE statale pluri'!J89=0,"",'CE statale pluri'!J89)</f>
        <v/>
      </c>
      <c r="K89" s="272" t="str">
        <f>IF('CE statale pluri'!K89=0,"",'CE statale pluri'!K89)</f>
        <v/>
      </c>
      <c r="L89" s="272" t="str">
        <f>IF('CE statale pluri'!L89=0,"",'CE statale pluri'!L89)</f>
        <v/>
      </c>
      <c r="M89" s="273" t="str">
        <f>IF('CE statale pluri'!M89=0,"",'CE statale pluri'!M89)</f>
        <v/>
      </c>
      <c r="N89" s="347" t="str">
        <f>IF('CE statale pluri'!N89=0,"",'CE statale pluri'!N89)</f>
        <v/>
      </c>
    </row>
    <row r="90" spans="1:14" s="79" customFormat="1">
      <c r="A90" s="209"/>
      <c r="B90" s="215" t="s">
        <v>2262</v>
      </c>
      <c r="C90" s="630" t="s">
        <v>1482</v>
      </c>
      <c r="D90" s="630"/>
      <c r="E90" s="630"/>
      <c r="F90" s="630"/>
      <c r="G90" s="631"/>
      <c r="H90" s="217" t="str">
        <f>IF('CE statale pluri'!H90=0,"",'CE statale pluri'!H90)</f>
        <v/>
      </c>
      <c r="I90" s="217" t="str">
        <f>IF('CE statale pluri'!I90=0,"",'CE statale pluri'!I90)</f>
        <v/>
      </c>
      <c r="J90" s="217" t="str">
        <f>IF('CE statale pluri'!J90=0,"",'CE statale pluri'!J90)</f>
        <v/>
      </c>
      <c r="K90" s="217" t="str">
        <f>IF('CE statale pluri'!K90=0,"",'CE statale pluri'!K90)</f>
        <v/>
      </c>
      <c r="L90" s="217" t="str">
        <f>IF('CE statale pluri'!L90=0,"",'CE statale pluri'!L90)</f>
        <v/>
      </c>
      <c r="M90" s="218" t="str">
        <f>IF('CE statale pluri'!M90=0,"",'CE statale pluri'!M90)</f>
        <v/>
      </c>
      <c r="N90" s="339" t="str">
        <f>IF('CE statale pluri'!N90=0,"",'CE statale pluri'!N90)</f>
        <v/>
      </c>
    </row>
    <row r="91" spans="1:14" s="79" customFormat="1">
      <c r="A91" s="209" t="s">
        <v>2912</v>
      </c>
      <c r="B91" s="240"/>
      <c r="C91" s="216" t="s">
        <v>2849</v>
      </c>
      <c r="D91" s="628" t="s">
        <v>2403</v>
      </c>
      <c r="E91" s="628"/>
      <c r="F91" s="628"/>
      <c r="G91" s="629"/>
      <c r="H91" s="217">
        <f>IF('CE statale pluri'!H91=0,"",'CE statale pluri'!H91)</f>
        <v>19419.93</v>
      </c>
      <c r="I91" s="217">
        <f>IF('CE statale pluri'!I91=0,"",'CE statale pluri'!I91)</f>
        <v>15032.77</v>
      </c>
      <c r="J91" s="217">
        <f>IF('CE statale pluri'!J91=0,"",'CE statale pluri'!J91)</f>
        <v>15000</v>
      </c>
      <c r="K91" s="217">
        <f>IF('CE statale pluri'!K91=0,"",'CE statale pluri'!K91)</f>
        <v>15000</v>
      </c>
      <c r="L91" s="217">
        <f>IF('CE statale pluri'!L91=0,"",'CE statale pluri'!L91)</f>
        <v>15000</v>
      </c>
      <c r="M91" s="218">
        <f>IF('CE statale pluri'!M91=0,"",'CE statale pluri'!M91)</f>
        <v>-32.770000000000437</v>
      </c>
      <c r="N91" s="339">
        <f>IF('CE statale pluri'!N91=0,"",'CE statale pluri'!N91)</f>
        <v>-2.1799043024007176E-3</v>
      </c>
    </row>
    <row r="92" spans="1:14" s="79" customFormat="1">
      <c r="A92" s="209" t="s">
        <v>2914</v>
      </c>
      <c r="B92" s="240"/>
      <c r="C92" s="216" t="s">
        <v>2858</v>
      </c>
      <c r="D92" s="628" t="s">
        <v>2404</v>
      </c>
      <c r="E92" s="628"/>
      <c r="F92" s="628"/>
      <c r="G92" s="629"/>
      <c r="H92" s="217">
        <f>IF('CE statale pluri'!H92=0,"",'CE statale pluri'!H92)</f>
        <v>87181.750000000015</v>
      </c>
      <c r="I92" s="217">
        <f>IF('CE statale pluri'!I92=0,"",'CE statale pluri'!I92)</f>
        <v>69000</v>
      </c>
      <c r="J92" s="217">
        <f>IF('CE statale pluri'!J92=0,"",'CE statale pluri'!J92)</f>
        <v>21000</v>
      </c>
      <c r="K92" s="217">
        <f>IF('CE statale pluri'!K92=0,"",'CE statale pluri'!K92)</f>
        <v>21000</v>
      </c>
      <c r="L92" s="217">
        <f>IF('CE statale pluri'!L92=0,"",'CE statale pluri'!L92)</f>
        <v>21000</v>
      </c>
      <c r="M92" s="218">
        <f>IF('CE statale pluri'!M92=0,"",'CE statale pluri'!M92)</f>
        <v>-48000</v>
      </c>
      <c r="N92" s="339">
        <f>IF('CE statale pluri'!N92=0,"",'CE statale pluri'!N92)</f>
        <v>-0.69565217391304346</v>
      </c>
    </row>
    <row r="93" spans="1:14" s="79" customFormat="1">
      <c r="A93" s="209"/>
      <c r="B93" s="241"/>
      <c r="C93" s="242" t="s">
        <v>2405</v>
      </c>
      <c r="D93" s="242"/>
      <c r="E93" s="242"/>
      <c r="F93" s="242"/>
      <c r="G93" s="243"/>
      <c r="H93" s="244">
        <f>IF('CE statale pluri'!H93=0,"",'CE statale pluri'!H93)</f>
        <v>-67761.820000000007</v>
      </c>
      <c r="I93" s="244">
        <f>IF('CE statale pluri'!I93=0,"",'CE statale pluri'!I93)</f>
        <v>-53967.229999999996</v>
      </c>
      <c r="J93" s="244">
        <f>IF('CE statale pluri'!J93=0,"",'CE statale pluri'!J93)</f>
        <v>-6000</v>
      </c>
      <c r="K93" s="244">
        <f>IF('CE statale pluri'!K93=0,"",'CE statale pluri'!K93)</f>
        <v>-6000</v>
      </c>
      <c r="L93" s="244">
        <f>IF('CE statale pluri'!L93=0,"",'CE statale pluri'!L93)</f>
        <v>-6000</v>
      </c>
      <c r="M93" s="245">
        <f>IF('CE statale pluri'!M93=0,"",'CE statale pluri'!M93)</f>
        <v>47967.229999999996</v>
      </c>
      <c r="N93" s="345">
        <f>IF('CE statale pluri'!N93=0,"",'CE statale pluri'!N93)</f>
        <v>-0.88882141996170638</v>
      </c>
    </row>
    <row r="94" spans="1:14" s="55" customFormat="1">
      <c r="A94" s="209"/>
      <c r="B94" s="248"/>
      <c r="C94" s="222"/>
      <c r="D94" s="254"/>
      <c r="E94" s="249"/>
      <c r="F94" s="254"/>
      <c r="G94" s="255"/>
      <c r="H94" s="225" t="str">
        <f>IF('CE statale pluri'!H94=0,"",'CE statale pluri'!H94)</f>
        <v/>
      </c>
      <c r="I94" s="225" t="str">
        <f>IF('CE statale pluri'!I94=0,"",'CE statale pluri'!I94)</f>
        <v/>
      </c>
      <c r="J94" s="225" t="str">
        <f>IF('CE statale pluri'!J94=0,"",'CE statale pluri'!J94)</f>
        <v/>
      </c>
      <c r="K94" s="225" t="str">
        <f>IF('CE statale pluri'!K94=0,"",'CE statale pluri'!K94)</f>
        <v/>
      </c>
      <c r="L94" s="225" t="str">
        <f>IF('CE statale pluri'!L94=0,"",'CE statale pluri'!L94)</f>
        <v/>
      </c>
      <c r="M94" s="226" t="str">
        <f>IF('CE statale pluri'!M94=0,"",'CE statale pluri'!M94)</f>
        <v/>
      </c>
      <c r="N94" s="340" t="str">
        <f>IF('CE statale pluri'!N94=0,"",'CE statale pluri'!N94)</f>
        <v/>
      </c>
    </row>
    <row r="95" spans="1:14" s="79" customFormat="1">
      <c r="A95" s="209"/>
      <c r="B95" s="215" t="s">
        <v>2363</v>
      </c>
      <c r="C95" s="630" t="s">
        <v>1484</v>
      </c>
      <c r="D95" s="630"/>
      <c r="E95" s="630"/>
      <c r="F95" s="630"/>
      <c r="G95" s="631"/>
      <c r="H95" s="217" t="str">
        <f>IF('CE statale pluri'!H95=0,"",'CE statale pluri'!H95)</f>
        <v/>
      </c>
      <c r="I95" s="217" t="str">
        <f>IF('CE statale pluri'!I95=0,"",'CE statale pluri'!I95)</f>
        <v/>
      </c>
      <c r="J95" s="217" t="str">
        <f>IF('CE statale pluri'!J95=0,"",'CE statale pluri'!J95)</f>
        <v/>
      </c>
      <c r="K95" s="217" t="str">
        <f>IF('CE statale pluri'!K95=0,"",'CE statale pluri'!K95)</f>
        <v/>
      </c>
      <c r="L95" s="217" t="str">
        <f>IF('CE statale pluri'!L95=0,"",'CE statale pluri'!L95)</f>
        <v/>
      </c>
      <c r="M95" s="218" t="str">
        <f>IF('CE statale pluri'!M95=0,"",'CE statale pluri'!M95)</f>
        <v/>
      </c>
      <c r="N95" s="339" t="str">
        <f>IF('CE statale pluri'!N95=0,"",'CE statale pluri'!N95)</f>
        <v/>
      </c>
    </row>
    <row r="96" spans="1:14" s="79" customFormat="1">
      <c r="A96" s="209" t="s">
        <v>771</v>
      </c>
      <c r="B96" s="240"/>
      <c r="C96" s="216" t="s">
        <v>2849</v>
      </c>
      <c r="D96" s="628" t="s">
        <v>1486</v>
      </c>
      <c r="E96" s="628"/>
      <c r="F96" s="628"/>
      <c r="G96" s="629"/>
      <c r="H96" s="217">
        <f>IF('CE statale pluri'!H96=0,"",'CE statale pluri'!H96)</f>
        <v>6503.01</v>
      </c>
      <c r="I96" s="217" t="str">
        <f>IF('CE statale pluri'!I96=0,"",'CE statale pluri'!I96)</f>
        <v/>
      </c>
      <c r="J96" s="217" t="str">
        <f>IF('CE statale pluri'!J96=0,"",'CE statale pluri'!J96)</f>
        <v/>
      </c>
      <c r="K96" s="217" t="str">
        <f>IF('CE statale pluri'!K96=0,"",'CE statale pluri'!K96)</f>
        <v/>
      </c>
      <c r="L96" s="217" t="str">
        <f>IF('CE statale pluri'!L96=0,"",'CE statale pluri'!L96)</f>
        <v/>
      </c>
      <c r="M96" s="218" t="str">
        <f>IF('CE statale pluri'!M96=0,"",'CE statale pluri'!M96)</f>
        <v/>
      </c>
      <c r="N96" s="339" t="str">
        <f>IF('CE statale pluri'!N96=0,"",'CE statale pluri'!N96)</f>
        <v xml:space="preserve">-    </v>
      </c>
    </row>
    <row r="97" spans="1:14" s="79" customFormat="1">
      <c r="A97" s="209" t="s">
        <v>1798</v>
      </c>
      <c r="B97" s="240"/>
      <c r="C97" s="216" t="s">
        <v>2858</v>
      </c>
      <c r="D97" s="628" t="s">
        <v>1487</v>
      </c>
      <c r="E97" s="628"/>
      <c r="F97" s="628"/>
      <c r="G97" s="629"/>
      <c r="H97" s="217" t="str">
        <f>IF('CE statale pluri'!H97=0,"",'CE statale pluri'!H97)</f>
        <v/>
      </c>
      <c r="I97" s="217" t="str">
        <f>IF('CE statale pluri'!I97=0,"",'CE statale pluri'!I97)</f>
        <v/>
      </c>
      <c r="J97" s="217" t="str">
        <f>IF('CE statale pluri'!J97=0,"",'CE statale pluri'!J97)</f>
        <v/>
      </c>
      <c r="K97" s="217" t="str">
        <f>IF('CE statale pluri'!K97=0,"",'CE statale pluri'!K97)</f>
        <v/>
      </c>
      <c r="L97" s="217" t="str">
        <f>IF('CE statale pluri'!L97=0,"",'CE statale pluri'!L97)</f>
        <v/>
      </c>
      <c r="M97" s="218" t="str">
        <f>IF('CE statale pluri'!M97=0,"",'CE statale pluri'!M97)</f>
        <v/>
      </c>
      <c r="N97" s="339" t="str">
        <f>IF('CE statale pluri'!N97=0,"",'CE statale pluri'!N97)</f>
        <v xml:space="preserve">-    </v>
      </c>
    </row>
    <row r="98" spans="1:14" s="79" customFormat="1">
      <c r="A98" s="209"/>
      <c r="B98" s="241"/>
      <c r="C98" s="242" t="s">
        <v>2406</v>
      </c>
      <c r="D98" s="242"/>
      <c r="E98" s="242"/>
      <c r="F98" s="242"/>
      <c r="G98" s="243"/>
      <c r="H98" s="244">
        <f>IF('CE statale pluri'!H98=0,"",'CE statale pluri'!H98)</f>
        <v>6503.01</v>
      </c>
      <c r="I98" s="244" t="str">
        <f>IF('CE statale pluri'!I98=0,"",'CE statale pluri'!I98)</f>
        <v/>
      </c>
      <c r="J98" s="244" t="str">
        <f>IF('CE statale pluri'!J98=0,"",'CE statale pluri'!J98)</f>
        <v/>
      </c>
      <c r="K98" s="244" t="str">
        <f>IF('CE statale pluri'!K98=0,"",'CE statale pluri'!K98)</f>
        <v/>
      </c>
      <c r="L98" s="244" t="str">
        <f>IF('CE statale pluri'!L98=0,"",'CE statale pluri'!L98)</f>
        <v/>
      </c>
      <c r="M98" s="245" t="str">
        <f>IF('CE statale pluri'!M98=0,"",'CE statale pluri'!M98)</f>
        <v/>
      </c>
      <c r="N98" s="345" t="str">
        <f>IF('CE statale pluri'!N98=0,"",'CE statale pluri'!N98)</f>
        <v xml:space="preserve">-    </v>
      </c>
    </row>
    <row r="99" spans="1:14" s="55" customFormat="1">
      <c r="A99" s="209"/>
      <c r="B99" s="248"/>
      <c r="C99" s="222"/>
      <c r="D99" s="251"/>
      <c r="E99" s="249"/>
      <c r="F99" s="223"/>
      <c r="G99" s="224"/>
      <c r="H99" s="225" t="str">
        <f>IF('CE statale pluri'!H99=0,"",'CE statale pluri'!H99)</f>
        <v/>
      </c>
      <c r="I99" s="225" t="str">
        <f>IF('CE statale pluri'!I99=0,"",'CE statale pluri'!I99)</f>
        <v/>
      </c>
      <c r="J99" s="225" t="str">
        <f>IF('CE statale pluri'!J99=0,"",'CE statale pluri'!J99)</f>
        <v/>
      </c>
      <c r="K99" s="225" t="str">
        <f>IF('CE statale pluri'!K99=0,"",'CE statale pluri'!K99)</f>
        <v/>
      </c>
      <c r="L99" s="225" t="str">
        <f>IF('CE statale pluri'!L99=0,"",'CE statale pluri'!L99)</f>
        <v/>
      </c>
      <c r="M99" s="226" t="str">
        <f>IF('CE statale pluri'!M99=0,"",'CE statale pluri'!M99)</f>
        <v/>
      </c>
      <c r="N99" s="340" t="str">
        <f>IF('CE statale pluri'!N99=0,"",'CE statale pluri'!N99)</f>
        <v/>
      </c>
    </row>
    <row r="100" spans="1:14" s="79" customFormat="1">
      <c r="A100" s="209"/>
      <c r="B100" s="215" t="s">
        <v>1488</v>
      </c>
      <c r="C100" s="630" t="s">
        <v>1489</v>
      </c>
      <c r="D100" s="630"/>
      <c r="E100" s="630"/>
      <c r="F100" s="630"/>
      <c r="G100" s="631"/>
      <c r="H100" s="217" t="str">
        <f>IF('CE statale pluri'!H100=0,"",'CE statale pluri'!H100)</f>
        <v/>
      </c>
      <c r="I100" s="217" t="str">
        <f>IF('CE statale pluri'!I100=0,"",'CE statale pluri'!I100)</f>
        <v/>
      </c>
      <c r="J100" s="217" t="str">
        <f>IF('CE statale pluri'!J100=0,"",'CE statale pluri'!J100)</f>
        <v/>
      </c>
      <c r="K100" s="217" t="str">
        <f>IF('CE statale pluri'!K100=0,"",'CE statale pluri'!K100)</f>
        <v/>
      </c>
      <c r="L100" s="217" t="str">
        <f>IF('CE statale pluri'!L100=0,"",'CE statale pluri'!L100)</f>
        <v/>
      </c>
      <c r="M100" s="218" t="str">
        <f>IF('CE statale pluri'!M100=0,"",'CE statale pluri'!M100)</f>
        <v/>
      </c>
      <c r="N100" s="339" t="str">
        <f>IF('CE statale pluri'!N100=0,"",'CE statale pluri'!N100)</f>
        <v/>
      </c>
    </row>
    <row r="101" spans="1:14" s="79" customFormat="1">
      <c r="A101" s="209"/>
      <c r="B101" s="240"/>
      <c r="C101" s="216" t="s">
        <v>2849</v>
      </c>
      <c r="D101" s="628" t="s">
        <v>2407</v>
      </c>
      <c r="E101" s="628"/>
      <c r="F101" s="628"/>
      <c r="G101" s="629"/>
      <c r="H101" s="217">
        <f>IF('CE statale pluri'!H101=0,"",'CE statale pluri'!H101)</f>
        <v>11097671.699999999</v>
      </c>
      <c r="I101" s="217">
        <f>IF('CE statale pluri'!I101=0,"",'CE statale pluri'!I101)</f>
        <v>7468474.8800000008</v>
      </c>
      <c r="J101" s="217">
        <f>IF('CE statale pluri'!J101=0,"",'CE statale pluri'!J101)</f>
        <v>5010000</v>
      </c>
      <c r="K101" s="217">
        <f>IF('CE statale pluri'!K101=0,"",'CE statale pluri'!K101)</f>
        <v>5010000</v>
      </c>
      <c r="L101" s="217">
        <f>IF('CE statale pluri'!L101=0,"",'CE statale pluri'!L101)</f>
        <v>5010000</v>
      </c>
      <c r="M101" s="218">
        <f>IF('CE statale pluri'!M101=0,"",'CE statale pluri'!M101)</f>
        <v>-2458474.8800000008</v>
      </c>
      <c r="N101" s="339">
        <f>IF('CE statale pluri'!N101=0,"",'CE statale pluri'!N101)</f>
        <v>-0.32918031050537599</v>
      </c>
    </row>
    <row r="102" spans="1:14" s="55" customFormat="1" outlineLevel="1">
      <c r="A102" s="209" t="s">
        <v>2</v>
      </c>
      <c r="B102" s="248"/>
      <c r="C102" s="250"/>
      <c r="D102" s="254"/>
      <c r="E102" s="222" t="s">
        <v>2851</v>
      </c>
      <c r="F102" s="625" t="s">
        <v>2408</v>
      </c>
      <c r="G102" s="626"/>
      <c r="H102" s="225" t="str">
        <f>IF('CE statale pluri'!H102=0,"",'CE statale pluri'!H102)</f>
        <v/>
      </c>
      <c r="I102" s="225" t="str">
        <f>IF('CE statale pluri'!I102=0,"",'CE statale pluri'!I102)</f>
        <v/>
      </c>
      <c r="J102" s="225" t="str">
        <f>IF('CE statale pluri'!J102=0,"",'CE statale pluri'!J102)</f>
        <v/>
      </c>
      <c r="K102" s="225" t="str">
        <f>IF('CE statale pluri'!K102=0,"",'CE statale pluri'!K102)</f>
        <v/>
      </c>
      <c r="L102" s="225" t="str">
        <f>IF('CE statale pluri'!L102=0,"",'CE statale pluri'!L102)</f>
        <v/>
      </c>
      <c r="M102" s="226" t="str">
        <f>IF('CE statale pluri'!M102=0,"",'CE statale pluri'!M102)</f>
        <v/>
      </c>
      <c r="N102" s="340" t="str">
        <f>IF('CE statale pluri'!N102=0,"",'CE statale pluri'!N102)</f>
        <v xml:space="preserve">-    </v>
      </c>
    </row>
    <row r="103" spans="1:14" s="55" customFormat="1" outlineLevel="1">
      <c r="A103" s="209" t="s">
        <v>740</v>
      </c>
      <c r="B103" s="248"/>
      <c r="C103" s="250"/>
      <c r="D103" s="254"/>
      <c r="E103" s="222" t="s">
        <v>2853</v>
      </c>
      <c r="F103" s="625" t="s">
        <v>2409</v>
      </c>
      <c r="G103" s="626"/>
      <c r="H103" s="225">
        <f>IF('CE statale pluri'!H103=0,"",'CE statale pluri'!H103)</f>
        <v>11097671.699999999</v>
      </c>
      <c r="I103" s="225">
        <f>IF('CE statale pluri'!I103=0,"",'CE statale pluri'!I103)</f>
        <v>7468474.8800000008</v>
      </c>
      <c r="J103" s="225">
        <f>IF('CE statale pluri'!J103=0,"",'CE statale pluri'!J103)</f>
        <v>5010000</v>
      </c>
      <c r="K103" s="225">
        <f>IF('CE statale pluri'!K103=0,"",'CE statale pluri'!K103)</f>
        <v>5010000</v>
      </c>
      <c r="L103" s="225">
        <f>IF('CE statale pluri'!L103=0,"",'CE statale pluri'!L103)</f>
        <v>5010000</v>
      </c>
      <c r="M103" s="226">
        <f>IF('CE statale pluri'!M103=0,"",'CE statale pluri'!M103)</f>
        <v>-2458474.8800000008</v>
      </c>
      <c r="N103" s="340">
        <f>IF('CE statale pluri'!N103=0,"",'CE statale pluri'!N103)</f>
        <v>-0.32918031050537599</v>
      </c>
    </row>
    <row r="104" spans="1:14" s="79" customFormat="1">
      <c r="A104" s="209"/>
      <c r="B104" s="240"/>
      <c r="C104" s="216" t="s">
        <v>2858</v>
      </c>
      <c r="D104" s="628" t="s">
        <v>2410</v>
      </c>
      <c r="E104" s="628"/>
      <c r="F104" s="628"/>
      <c r="G104" s="629"/>
      <c r="H104" s="217">
        <f>IF('CE statale pluri'!H104=0,"",'CE statale pluri'!H104)</f>
        <v>4731051.8200000012</v>
      </c>
      <c r="I104" s="217">
        <f>IF('CE statale pluri'!I104=0,"",'CE statale pluri'!I104)</f>
        <v>680154.14</v>
      </c>
      <c r="J104" s="217">
        <f>IF('CE statale pluri'!J104=0,"",'CE statale pluri'!J104)</f>
        <v>152500</v>
      </c>
      <c r="K104" s="217">
        <f>IF('CE statale pluri'!K104=0,"",'CE statale pluri'!K104)</f>
        <v>152500</v>
      </c>
      <c r="L104" s="217">
        <f>IF('CE statale pluri'!L104=0,"",'CE statale pluri'!L104)</f>
        <v>152500</v>
      </c>
      <c r="M104" s="218">
        <f>IF('CE statale pluri'!M104=0,"",'CE statale pluri'!M104)</f>
        <v>-527654.14</v>
      </c>
      <c r="N104" s="339">
        <f>IF('CE statale pluri'!N104=0,"",'CE statale pluri'!N104)</f>
        <v>-0.77578611812904641</v>
      </c>
    </row>
    <row r="105" spans="1:14" s="55" customFormat="1" outlineLevel="1">
      <c r="A105" s="209" t="s">
        <v>1821</v>
      </c>
      <c r="B105" s="248"/>
      <c r="C105" s="250"/>
      <c r="D105" s="254"/>
      <c r="E105" s="222" t="s">
        <v>2851</v>
      </c>
      <c r="F105" s="625" t="s">
        <v>2411</v>
      </c>
      <c r="G105" s="626"/>
      <c r="H105" s="225">
        <f>IF('CE statale pluri'!H105=0,"",'CE statale pluri'!H105)</f>
        <v>51769.03</v>
      </c>
      <c r="I105" s="225">
        <f>IF('CE statale pluri'!I105=0,"",'CE statale pluri'!I105)</f>
        <v>52000</v>
      </c>
      <c r="J105" s="225">
        <f>IF('CE statale pluri'!J105=0,"",'CE statale pluri'!J105)</f>
        <v>52000</v>
      </c>
      <c r="K105" s="225">
        <f>IF('CE statale pluri'!K105=0,"",'CE statale pluri'!K105)</f>
        <v>52000</v>
      </c>
      <c r="L105" s="225">
        <f>IF('CE statale pluri'!L105=0,"",'CE statale pluri'!L105)</f>
        <v>52000</v>
      </c>
      <c r="M105" s="226" t="str">
        <f>IF('CE statale pluri'!M105=0,"",'CE statale pluri'!M105)</f>
        <v/>
      </c>
      <c r="N105" s="340" t="str">
        <f>IF('CE statale pluri'!N105=0,"",'CE statale pluri'!N105)</f>
        <v/>
      </c>
    </row>
    <row r="106" spans="1:14" s="55" customFormat="1" outlineLevel="1">
      <c r="A106" s="209" t="s">
        <v>1775</v>
      </c>
      <c r="B106" s="248"/>
      <c r="C106" s="250"/>
      <c r="D106" s="254"/>
      <c r="E106" s="222" t="s">
        <v>2853</v>
      </c>
      <c r="F106" s="625" t="s">
        <v>2412</v>
      </c>
      <c r="G106" s="626"/>
      <c r="H106" s="225">
        <f>IF('CE statale pluri'!H106=0,"",'CE statale pluri'!H106)</f>
        <v>4679282.790000001</v>
      </c>
      <c r="I106" s="225">
        <f>IF('CE statale pluri'!I106=0,"",'CE statale pluri'!I106)</f>
        <v>628154.14</v>
      </c>
      <c r="J106" s="225">
        <f>IF('CE statale pluri'!J106=0,"",'CE statale pluri'!J106)</f>
        <v>100500</v>
      </c>
      <c r="K106" s="225">
        <f>IF('CE statale pluri'!K106=0,"",'CE statale pluri'!K106)</f>
        <v>100500</v>
      </c>
      <c r="L106" s="225">
        <f>IF('CE statale pluri'!L106=0,"",'CE statale pluri'!L106)</f>
        <v>100500</v>
      </c>
      <c r="M106" s="226">
        <f>IF('CE statale pluri'!M106=0,"",'CE statale pluri'!M106)</f>
        <v>-527654.14</v>
      </c>
      <c r="N106" s="340">
        <f>IF('CE statale pluri'!N106=0,"",'CE statale pluri'!N106)</f>
        <v>-0.84000742238202875</v>
      </c>
    </row>
    <row r="107" spans="1:14" s="79" customFormat="1">
      <c r="A107" s="209"/>
      <c r="B107" s="241"/>
      <c r="C107" s="242" t="s">
        <v>2413</v>
      </c>
      <c r="D107" s="242"/>
      <c r="E107" s="242"/>
      <c r="F107" s="242"/>
      <c r="G107" s="243"/>
      <c r="H107" s="244">
        <f>IF('CE statale pluri'!H107=0,"",'CE statale pluri'!H107)</f>
        <v>6366619.879999998</v>
      </c>
      <c r="I107" s="244">
        <f>IF('CE statale pluri'!I107=0,"",'CE statale pluri'!I107)</f>
        <v>6788320.7400000012</v>
      </c>
      <c r="J107" s="244">
        <f>IF('CE statale pluri'!J107=0,"",'CE statale pluri'!J107)</f>
        <v>4857500</v>
      </c>
      <c r="K107" s="244">
        <f>IF('CE statale pluri'!K107=0,"",'CE statale pluri'!K107)</f>
        <v>4857500</v>
      </c>
      <c r="L107" s="244">
        <f>IF('CE statale pluri'!L107=0,"",'CE statale pluri'!L107)</f>
        <v>4857500</v>
      </c>
      <c r="M107" s="245">
        <f>IF('CE statale pluri'!M107=0,"",'CE statale pluri'!M107)</f>
        <v>-1930820.7400000012</v>
      </c>
      <c r="N107" s="345">
        <f>IF('CE statale pluri'!N107=0,"",'CE statale pluri'!N107)</f>
        <v>-0.28443275059510531</v>
      </c>
    </row>
    <row r="108" spans="1:14" s="55" customFormat="1" ht="15.75" thickBot="1">
      <c r="A108" s="209"/>
      <c r="B108" s="257"/>
      <c r="C108" s="222"/>
      <c r="D108" s="254"/>
      <c r="E108" s="251"/>
      <c r="F108" s="254"/>
      <c r="G108" s="255"/>
      <c r="H108" s="225" t="str">
        <f>IF('CE statale pluri'!H108=0,"",'CE statale pluri'!H108)</f>
        <v/>
      </c>
      <c r="I108" s="225" t="str">
        <f>IF('CE statale pluri'!I108=0,"",'CE statale pluri'!I108)</f>
        <v/>
      </c>
      <c r="J108" s="225" t="str">
        <f>IF('CE statale pluri'!J108=0,"",'CE statale pluri'!J108)</f>
        <v/>
      </c>
      <c r="K108" s="225" t="str">
        <f>IF('CE statale pluri'!K108=0,"",'CE statale pluri'!K108)</f>
        <v/>
      </c>
      <c r="L108" s="225" t="str">
        <f>IF('CE statale pluri'!L108=0,"",'CE statale pluri'!L108)</f>
        <v/>
      </c>
      <c r="M108" s="226" t="str">
        <f>IF('CE statale pluri'!M108=0,"",'CE statale pluri'!M108)</f>
        <v/>
      </c>
      <c r="N108" s="340" t="str">
        <f>IF('CE statale pluri'!N108=0,"",'CE statale pluri'!N108)</f>
        <v/>
      </c>
    </row>
    <row r="109" spans="1:14" s="81" customFormat="1" ht="16.5" thickTop="1" thickBot="1">
      <c r="A109" s="258"/>
      <c r="B109" s="259" t="s">
        <v>2414</v>
      </c>
      <c r="C109" s="260"/>
      <c r="D109" s="260"/>
      <c r="E109" s="260"/>
      <c r="F109" s="260"/>
      <c r="G109" s="261"/>
      <c r="H109" s="262">
        <f>IF('CE statale pluri'!H109=0,"",'CE statale pluri'!H109)</f>
        <v>57143938.380000651</v>
      </c>
      <c r="I109" s="262">
        <f>IF('CE statale pluri'!I109=0,"",'CE statale pluri'!I109)</f>
        <v>62045560.440000072</v>
      </c>
      <c r="J109" s="262">
        <f>IF('CE statale pluri'!J109=0,"",'CE statale pluri'!J109)</f>
        <v>40469000</v>
      </c>
      <c r="K109" s="262">
        <f>IF('CE statale pluri'!K109=0,"",'CE statale pluri'!K109)</f>
        <v>40602000</v>
      </c>
      <c r="L109" s="262">
        <f>IF('CE statale pluri'!L109=0,"",'CE statale pluri'!L109)</f>
        <v>40717000</v>
      </c>
      <c r="M109" s="263">
        <f>IF('CE statale pluri'!M109=0,"",'CE statale pluri'!M109)</f>
        <v>-21328560.440000072</v>
      </c>
      <c r="N109" s="346">
        <f>IF('CE statale pluri'!N109=0,"",'CE statale pluri'!N109)</f>
        <v>-0.34375643138279705</v>
      </c>
    </row>
    <row r="110" spans="1:14" s="81" customFormat="1" ht="15.75" thickTop="1">
      <c r="A110" s="258"/>
      <c r="B110" s="267"/>
      <c r="C110" s="268"/>
      <c r="D110" s="268"/>
      <c r="E110" s="269"/>
      <c r="F110" s="270"/>
      <c r="G110" s="271"/>
      <c r="H110" s="272" t="str">
        <f>IF('CE statale pluri'!H110=0,"",'CE statale pluri'!H110)</f>
        <v/>
      </c>
      <c r="I110" s="272" t="str">
        <f>IF('CE statale pluri'!I110=0,"",'CE statale pluri'!I110)</f>
        <v/>
      </c>
      <c r="J110" s="272" t="str">
        <f>IF('CE statale pluri'!J110=0,"",'CE statale pluri'!J110)</f>
        <v/>
      </c>
      <c r="K110" s="272" t="str">
        <f>IF('CE statale pluri'!K110=0,"",'CE statale pluri'!K110)</f>
        <v/>
      </c>
      <c r="L110" s="272" t="str">
        <f>IF('CE statale pluri'!L110=0,"",'CE statale pluri'!L110)</f>
        <v/>
      </c>
      <c r="M110" s="273" t="str">
        <f>IF('CE statale pluri'!M110=0,"",'CE statale pluri'!M110)</f>
        <v/>
      </c>
      <c r="N110" s="347" t="str">
        <f>IF('CE statale pluri'!N110=0,"",'CE statale pluri'!N110)</f>
        <v/>
      </c>
    </row>
    <row r="111" spans="1:14" s="79" customFormat="1">
      <c r="A111" s="209"/>
      <c r="B111" s="215" t="s">
        <v>2922</v>
      </c>
      <c r="C111" s="630" t="s">
        <v>2415</v>
      </c>
      <c r="D111" s="630"/>
      <c r="E111" s="630"/>
      <c r="F111" s="630"/>
      <c r="G111" s="631"/>
      <c r="H111" s="217" t="str">
        <f>IF('CE statale pluri'!H111=0,"",'CE statale pluri'!H111)</f>
        <v/>
      </c>
      <c r="I111" s="217" t="str">
        <f>IF('CE statale pluri'!I111=0,"",'CE statale pluri'!I111)</f>
        <v/>
      </c>
      <c r="J111" s="217" t="str">
        <f>IF('CE statale pluri'!J111=0,"",'CE statale pluri'!J111)</f>
        <v/>
      </c>
      <c r="K111" s="217" t="str">
        <f>IF('CE statale pluri'!K111=0,"",'CE statale pluri'!K111)</f>
        <v/>
      </c>
      <c r="L111" s="217" t="str">
        <f>IF('CE statale pluri'!L111=0,"",'CE statale pluri'!L111)</f>
        <v/>
      </c>
      <c r="M111" s="218" t="str">
        <f>IF('CE statale pluri'!M111=0,"",'CE statale pluri'!M111)</f>
        <v/>
      </c>
      <c r="N111" s="339" t="str">
        <f>IF('CE statale pluri'!N111=0,"",'CE statale pluri'!N111)</f>
        <v/>
      </c>
    </row>
    <row r="112" spans="1:14" s="79" customFormat="1">
      <c r="A112" s="209"/>
      <c r="B112" s="240"/>
      <c r="C112" s="216" t="s">
        <v>2849</v>
      </c>
      <c r="D112" s="628" t="s">
        <v>1840</v>
      </c>
      <c r="E112" s="628"/>
      <c r="F112" s="628"/>
      <c r="G112" s="629"/>
      <c r="H112" s="217">
        <f>IF('CE statale pluri'!H112=0,"",'CE statale pluri'!H112)</f>
        <v>39522914.770000003</v>
      </c>
      <c r="I112" s="217">
        <f>IF('CE statale pluri'!I112=0,"",'CE statale pluri'!I112)</f>
        <v>40354000</v>
      </c>
      <c r="J112" s="217">
        <f>IF('CE statale pluri'!J112=0,"",'CE statale pluri'!J112)</f>
        <v>40469000</v>
      </c>
      <c r="K112" s="217">
        <f>IF('CE statale pluri'!K112=0,"",'CE statale pluri'!K112)</f>
        <v>40602000</v>
      </c>
      <c r="L112" s="217">
        <f>IF('CE statale pluri'!L112=0,"",'CE statale pluri'!L112)</f>
        <v>40717000</v>
      </c>
      <c r="M112" s="218">
        <f>IF('CE statale pluri'!M112=0,"",'CE statale pluri'!M112)</f>
        <v>363000</v>
      </c>
      <c r="N112" s="339">
        <f>IF('CE statale pluri'!N112=0,"",'CE statale pluri'!N112)</f>
        <v>8.9953907914952676E-3</v>
      </c>
    </row>
    <row r="113" spans="1:14" s="55" customFormat="1" outlineLevel="1">
      <c r="A113" s="209" t="s">
        <v>2924</v>
      </c>
      <c r="B113" s="257"/>
      <c r="C113" s="250"/>
      <c r="D113" s="254"/>
      <c r="E113" s="222" t="s">
        <v>2851</v>
      </c>
      <c r="F113" s="625" t="s">
        <v>2416</v>
      </c>
      <c r="G113" s="626"/>
      <c r="H113" s="225">
        <f>IF('CE statale pluri'!H113=0,"",'CE statale pluri'!H113)</f>
        <v>39178373.280000001</v>
      </c>
      <c r="I113" s="225">
        <f>IF('CE statale pluri'!I113=0,"",'CE statale pluri'!I113)</f>
        <v>40000000</v>
      </c>
      <c r="J113" s="225">
        <f>IF('CE statale pluri'!J113=0,"",'CE statale pluri'!J113)</f>
        <v>40115000</v>
      </c>
      <c r="K113" s="225">
        <f>IF('CE statale pluri'!K113=0,"",'CE statale pluri'!K113)</f>
        <v>40248000</v>
      </c>
      <c r="L113" s="225">
        <f>IF('CE statale pluri'!L113=0,"",'CE statale pluri'!L113)</f>
        <v>40363000</v>
      </c>
      <c r="M113" s="226">
        <f>IF('CE statale pluri'!M113=0,"",'CE statale pluri'!M113)</f>
        <v>363000</v>
      </c>
      <c r="N113" s="340">
        <f>IF('CE statale pluri'!N113=0,"",'CE statale pluri'!N113)</f>
        <v>9.0749999999999997E-3</v>
      </c>
    </row>
    <row r="114" spans="1:14" s="55" customFormat="1" ht="30" customHeight="1" outlineLevel="1">
      <c r="A114" s="209" t="s">
        <v>2925</v>
      </c>
      <c r="B114" s="257"/>
      <c r="C114" s="250"/>
      <c r="D114" s="254"/>
      <c r="E114" s="222" t="s">
        <v>2853</v>
      </c>
      <c r="F114" s="625" t="s">
        <v>2417</v>
      </c>
      <c r="G114" s="626"/>
      <c r="H114" s="225">
        <f>IF('CE statale pluri'!H114=0,"",'CE statale pluri'!H114)</f>
        <v>193752.25</v>
      </c>
      <c r="I114" s="225">
        <f>IF('CE statale pluri'!I114=0,"",'CE statale pluri'!I114)</f>
        <v>202000</v>
      </c>
      <c r="J114" s="225">
        <f>IF('CE statale pluri'!J114=0,"",'CE statale pluri'!J114)</f>
        <v>202000</v>
      </c>
      <c r="K114" s="225">
        <f>IF('CE statale pluri'!K114=0,"",'CE statale pluri'!K114)</f>
        <v>202000</v>
      </c>
      <c r="L114" s="225">
        <f>IF('CE statale pluri'!L114=0,"",'CE statale pluri'!L114)</f>
        <v>202000</v>
      </c>
      <c r="M114" s="226" t="str">
        <f>IF('CE statale pluri'!M114=0,"",'CE statale pluri'!M114)</f>
        <v/>
      </c>
      <c r="N114" s="340" t="str">
        <f>IF('CE statale pluri'!N114=0,"",'CE statale pluri'!N114)</f>
        <v/>
      </c>
    </row>
    <row r="115" spans="1:14" s="55" customFormat="1" outlineLevel="1">
      <c r="A115" s="209" t="s">
        <v>2926</v>
      </c>
      <c r="B115" s="257"/>
      <c r="C115" s="250"/>
      <c r="D115" s="254"/>
      <c r="E115" s="222" t="s">
        <v>3542</v>
      </c>
      <c r="F115" s="625" t="s">
        <v>2418</v>
      </c>
      <c r="G115" s="626"/>
      <c r="H115" s="225">
        <f>IF('CE statale pluri'!H115=0,"",'CE statale pluri'!H115)</f>
        <v>150789.24</v>
      </c>
      <c r="I115" s="225">
        <f>IF('CE statale pluri'!I115=0,"",'CE statale pluri'!I115)</f>
        <v>152000</v>
      </c>
      <c r="J115" s="225">
        <f>IF('CE statale pluri'!J115=0,"",'CE statale pluri'!J115)</f>
        <v>152000</v>
      </c>
      <c r="K115" s="225">
        <f>IF('CE statale pluri'!K115=0,"",'CE statale pluri'!K115)</f>
        <v>152000</v>
      </c>
      <c r="L115" s="225">
        <f>IF('CE statale pluri'!L115=0,"",'CE statale pluri'!L115)</f>
        <v>152000</v>
      </c>
      <c r="M115" s="226" t="str">
        <f>IF('CE statale pluri'!M115=0,"",'CE statale pluri'!M115)</f>
        <v/>
      </c>
      <c r="N115" s="340" t="str">
        <f>IF('CE statale pluri'!N115=0,"",'CE statale pluri'!N115)</f>
        <v/>
      </c>
    </row>
    <row r="116" spans="1:14" s="55" customFormat="1" outlineLevel="1">
      <c r="A116" s="209" t="s">
        <v>2927</v>
      </c>
      <c r="B116" s="257"/>
      <c r="C116" s="250"/>
      <c r="D116" s="254"/>
      <c r="E116" s="222" t="s">
        <v>3550</v>
      </c>
      <c r="F116" s="625" t="s">
        <v>2419</v>
      </c>
      <c r="G116" s="626"/>
      <c r="H116" s="225" t="str">
        <f>IF('CE statale pluri'!H116=0,"",'CE statale pluri'!H116)</f>
        <v/>
      </c>
      <c r="I116" s="225" t="str">
        <f>IF('CE statale pluri'!I116=0,"",'CE statale pluri'!I116)</f>
        <v/>
      </c>
      <c r="J116" s="225" t="str">
        <f>IF('CE statale pluri'!J116=0,"",'CE statale pluri'!J116)</f>
        <v/>
      </c>
      <c r="K116" s="225" t="str">
        <f>IF('CE statale pluri'!K116=0,"",'CE statale pluri'!K116)</f>
        <v/>
      </c>
      <c r="L116" s="225" t="str">
        <f>IF('CE statale pluri'!L116=0,"",'CE statale pluri'!L116)</f>
        <v/>
      </c>
      <c r="M116" s="226" t="str">
        <f>IF('CE statale pluri'!M116=0,"",'CE statale pluri'!M116)</f>
        <v/>
      </c>
      <c r="N116" s="340" t="str">
        <f>IF('CE statale pluri'!N116=0,"",'CE statale pluri'!N116)</f>
        <v xml:space="preserve">-    </v>
      </c>
    </row>
    <row r="117" spans="1:14" s="79" customFormat="1">
      <c r="A117" s="209" t="s">
        <v>2928</v>
      </c>
      <c r="B117" s="240"/>
      <c r="C117" s="216" t="s">
        <v>2858</v>
      </c>
      <c r="D117" s="628" t="s">
        <v>1827</v>
      </c>
      <c r="E117" s="628"/>
      <c r="F117" s="628"/>
      <c r="G117" s="629"/>
      <c r="H117" s="217" t="str">
        <f>IF('CE statale pluri'!H117=0,"",'CE statale pluri'!H117)</f>
        <v/>
      </c>
      <c r="I117" s="217" t="str">
        <f>IF('CE statale pluri'!I117=0,"",'CE statale pluri'!I117)</f>
        <v/>
      </c>
      <c r="J117" s="217" t="str">
        <f>IF('CE statale pluri'!J117=0,"",'CE statale pluri'!J117)</f>
        <v/>
      </c>
      <c r="K117" s="217" t="str">
        <f>IF('CE statale pluri'!K117=0,"",'CE statale pluri'!K117)</f>
        <v/>
      </c>
      <c r="L117" s="217" t="str">
        <f>IF('CE statale pluri'!L117=0,"",'CE statale pluri'!L117)</f>
        <v/>
      </c>
      <c r="M117" s="218" t="str">
        <f>IF('CE statale pluri'!M117=0,"",'CE statale pluri'!M117)</f>
        <v/>
      </c>
      <c r="N117" s="339" t="str">
        <f>IF('CE statale pluri'!N117=0,"",'CE statale pluri'!N117)</f>
        <v xml:space="preserve">-    </v>
      </c>
    </row>
    <row r="118" spans="1:14" s="79" customFormat="1">
      <c r="A118" s="209" t="s">
        <v>1072</v>
      </c>
      <c r="B118" s="240"/>
      <c r="C118" s="216" t="s">
        <v>2861</v>
      </c>
      <c r="D118" s="628" t="s">
        <v>2420</v>
      </c>
      <c r="E118" s="628"/>
      <c r="F118" s="628"/>
      <c r="G118" s="629"/>
      <c r="H118" s="217" t="str">
        <f>IF('CE statale pluri'!H118=0,"",'CE statale pluri'!H118)</f>
        <v/>
      </c>
      <c r="I118" s="217" t="str">
        <f>IF('CE statale pluri'!I118=0,"",'CE statale pluri'!I118)</f>
        <v/>
      </c>
      <c r="J118" s="217" t="str">
        <f>IF('CE statale pluri'!J118=0,"",'CE statale pluri'!J118)</f>
        <v/>
      </c>
      <c r="K118" s="217" t="str">
        <f>IF('CE statale pluri'!K118=0,"",'CE statale pluri'!K118)</f>
        <v/>
      </c>
      <c r="L118" s="217" t="str">
        <f>IF('CE statale pluri'!L118=0,"",'CE statale pluri'!L118)</f>
        <v/>
      </c>
      <c r="M118" s="218" t="str">
        <f>IF('CE statale pluri'!M118=0,"",'CE statale pluri'!M118)</f>
        <v/>
      </c>
      <c r="N118" s="339" t="str">
        <f>IF('CE statale pluri'!N118=0,"",'CE statale pluri'!N118)</f>
        <v xml:space="preserve">-    </v>
      </c>
    </row>
    <row r="119" spans="1:14" s="79" customFormat="1">
      <c r="A119" s="209"/>
      <c r="B119" s="241"/>
      <c r="C119" s="242" t="s">
        <v>2421</v>
      </c>
      <c r="D119" s="242"/>
      <c r="E119" s="242"/>
      <c r="F119" s="242"/>
      <c r="G119" s="243"/>
      <c r="H119" s="244">
        <f>IF('CE statale pluri'!H119=0,"",'CE statale pluri'!H119)</f>
        <v>39522914.770000003</v>
      </c>
      <c r="I119" s="244">
        <f>IF('CE statale pluri'!I119=0,"",'CE statale pluri'!I119)</f>
        <v>40354000</v>
      </c>
      <c r="J119" s="244">
        <f>IF('CE statale pluri'!J119=0,"",'CE statale pluri'!J119)</f>
        <v>40469000</v>
      </c>
      <c r="K119" s="244">
        <f>IF('CE statale pluri'!K119=0,"",'CE statale pluri'!K119)</f>
        <v>40602000</v>
      </c>
      <c r="L119" s="244">
        <f>IF('CE statale pluri'!L119=0,"",'CE statale pluri'!L119)</f>
        <v>40717000</v>
      </c>
      <c r="M119" s="245">
        <f>IF('CE statale pluri'!M119=0,"",'CE statale pluri'!M119)</f>
        <v>363000</v>
      </c>
      <c r="N119" s="345">
        <f>IF('CE statale pluri'!N119=0,"",'CE statale pluri'!N119)</f>
        <v>8.9953907914952676E-3</v>
      </c>
    </row>
    <row r="120" spans="1:14" s="55" customFormat="1">
      <c r="A120" s="209"/>
      <c r="B120" s="257"/>
      <c r="C120" s="222"/>
      <c r="D120" s="254"/>
      <c r="E120" s="251"/>
      <c r="F120" s="254"/>
      <c r="G120" s="255"/>
      <c r="H120" s="225" t="str">
        <f>IF('CE statale pluri'!H120=0,"",'CE statale pluri'!H120)</f>
        <v/>
      </c>
      <c r="I120" s="225" t="str">
        <f>IF('CE statale pluri'!I120=0,"",'CE statale pluri'!I120)</f>
        <v/>
      </c>
      <c r="J120" s="225" t="str">
        <f>IF('CE statale pluri'!J120=0,"",'CE statale pluri'!J120)</f>
        <v/>
      </c>
      <c r="K120" s="225" t="str">
        <f>IF('CE statale pluri'!K120=0,"",'CE statale pluri'!K120)</f>
        <v/>
      </c>
      <c r="L120" s="225" t="str">
        <f>IF('CE statale pluri'!L120=0,"",'CE statale pluri'!L120)</f>
        <v/>
      </c>
      <c r="M120" s="226" t="str">
        <f>IF('CE statale pluri'!M120=0,"",'CE statale pluri'!M120)</f>
        <v/>
      </c>
      <c r="N120" s="340" t="str">
        <f>IF('CE statale pluri'!N120=0,"",'CE statale pluri'!N120)</f>
        <v/>
      </c>
    </row>
    <row r="121" spans="1:14" s="81" customFormat="1" ht="15.75" thickBot="1">
      <c r="A121" s="258"/>
      <c r="B121" s="276" t="s">
        <v>2422</v>
      </c>
      <c r="C121" s="277"/>
      <c r="D121" s="278"/>
      <c r="E121" s="277"/>
      <c r="F121" s="279"/>
      <c r="G121" s="280"/>
      <c r="H121" s="281">
        <f>IF('CE statale pluri'!H121=0,"",'CE statale pluri'!H121)</f>
        <v>17621023.610000648</v>
      </c>
      <c r="I121" s="281">
        <f>IF('CE statale pluri'!I121=0,"",'CE statale pluri'!I121)</f>
        <v>21691560.440000072</v>
      </c>
      <c r="J121" s="281" t="str">
        <f>IF('CE statale pluri'!J121=0,"",'CE statale pluri'!J121)</f>
        <v/>
      </c>
      <c r="K121" s="281" t="str">
        <f>IF('CE statale pluri'!K121=0,"",'CE statale pluri'!K121)</f>
        <v/>
      </c>
      <c r="L121" s="281" t="str">
        <f>IF('CE statale pluri'!L121=0,"",'CE statale pluri'!L121)</f>
        <v/>
      </c>
      <c r="M121" s="282">
        <f>IF('CE statale pluri'!M121=0,"",'CE statale pluri'!M121)</f>
        <v>-21691560.440000072</v>
      </c>
      <c r="N121" s="348">
        <f>IF('CE statale pluri'!N121=0,"",'CE statale pluri'!N121)</f>
        <v>-1</v>
      </c>
    </row>
    <row r="122" spans="1:14" s="55" customFormat="1">
      <c r="B122" s="90"/>
      <c r="C122" s="90"/>
      <c r="D122" s="91"/>
      <c r="E122" s="91"/>
      <c r="F122" s="175"/>
      <c r="G122" s="175"/>
      <c r="H122" s="176"/>
      <c r="I122" s="176"/>
      <c r="J122" s="176"/>
      <c r="K122" s="176"/>
      <c r="L122" s="176"/>
      <c r="M122" s="177"/>
      <c r="N122" s="351"/>
    </row>
    <row r="123" spans="1:14">
      <c r="B123" s="88"/>
      <c r="C123" s="88"/>
      <c r="D123" s="54"/>
      <c r="E123" s="54"/>
      <c r="F123" s="54"/>
      <c r="G123" s="54"/>
      <c r="H123" s="52"/>
      <c r="I123" s="89"/>
      <c r="J123" s="89"/>
      <c r="K123" s="89"/>
      <c r="L123" s="89"/>
    </row>
    <row r="124" spans="1:14">
      <c r="B124" s="90"/>
      <c r="C124" s="90"/>
      <c r="D124" s="91"/>
      <c r="E124" s="91"/>
      <c r="F124" s="91"/>
      <c r="G124" s="92"/>
      <c r="H124" s="89"/>
      <c r="I124" s="89"/>
      <c r="J124" s="89"/>
      <c r="K124" s="89"/>
      <c r="L124" s="89"/>
    </row>
    <row r="125" spans="1:14">
      <c r="B125" s="90"/>
      <c r="C125" s="90"/>
      <c r="D125" s="91"/>
      <c r="E125" s="91"/>
      <c r="F125" s="91"/>
      <c r="G125" s="92"/>
      <c r="H125" s="89"/>
      <c r="I125" s="89"/>
      <c r="J125" s="89"/>
      <c r="K125" s="89"/>
      <c r="L125" s="89"/>
    </row>
    <row r="126" spans="1:14">
      <c r="B126" s="90"/>
      <c r="C126" s="90"/>
      <c r="D126" s="91"/>
      <c r="E126" s="91"/>
      <c r="F126" s="91"/>
      <c r="G126" s="92"/>
      <c r="H126" s="89"/>
      <c r="I126" s="89"/>
      <c r="J126" s="89"/>
      <c r="K126" s="89"/>
      <c r="L126" s="89"/>
    </row>
    <row r="127" spans="1:14">
      <c r="B127" s="90"/>
      <c r="C127" s="90"/>
      <c r="D127" s="91"/>
      <c r="E127" s="91"/>
      <c r="F127" s="91"/>
      <c r="G127" s="92"/>
      <c r="H127" s="89"/>
      <c r="I127" s="89"/>
      <c r="J127" s="89"/>
      <c r="K127" s="89"/>
      <c r="L127" s="89"/>
    </row>
    <row r="128" spans="1:14">
      <c r="B128" s="90"/>
      <c r="C128" s="90"/>
      <c r="D128" s="91"/>
      <c r="E128" s="91"/>
      <c r="F128" s="91"/>
      <c r="G128" s="92"/>
      <c r="H128" s="89"/>
      <c r="I128" s="89"/>
      <c r="J128" s="89"/>
      <c r="K128" s="89"/>
      <c r="L128" s="89"/>
    </row>
    <row r="129" spans="2:15">
      <c r="B129" s="90"/>
      <c r="C129" s="90"/>
      <c r="D129" s="91"/>
      <c r="E129" s="91"/>
      <c r="F129" s="91"/>
      <c r="G129" s="92"/>
      <c r="H129" s="89"/>
      <c r="I129" s="89"/>
      <c r="J129" s="89"/>
      <c r="K129" s="89"/>
      <c r="L129" s="89"/>
    </row>
    <row r="130" spans="2:15">
      <c r="B130" s="90"/>
      <c r="C130" s="90"/>
      <c r="D130" s="91"/>
      <c r="E130" s="91"/>
      <c r="F130" s="91"/>
      <c r="G130" s="92"/>
      <c r="H130" s="89"/>
      <c r="I130" s="89"/>
      <c r="J130" s="89"/>
      <c r="K130" s="89"/>
      <c r="L130" s="89"/>
    </row>
    <row r="131" spans="2:15">
      <c r="B131" s="90"/>
      <c r="C131" s="90"/>
      <c r="D131" s="91"/>
      <c r="E131" s="91"/>
      <c r="F131" s="91"/>
      <c r="G131" s="92"/>
      <c r="H131" s="89"/>
      <c r="I131" s="89"/>
      <c r="J131" s="89"/>
      <c r="K131" s="89"/>
      <c r="L131" s="89"/>
    </row>
    <row r="132" spans="2:15">
      <c r="B132" s="90"/>
      <c r="C132" s="90"/>
      <c r="D132" s="91"/>
      <c r="E132" s="91"/>
      <c r="F132" s="91"/>
      <c r="G132" s="92"/>
      <c r="H132" s="89"/>
      <c r="I132" s="89"/>
      <c r="J132" s="89"/>
      <c r="K132" s="89"/>
      <c r="L132" s="89"/>
    </row>
    <row r="133" spans="2:15">
      <c r="B133" s="90"/>
      <c r="C133" s="90"/>
      <c r="D133" s="91"/>
      <c r="E133" s="91"/>
      <c r="F133" s="91"/>
      <c r="G133" s="92"/>
      <c r="H133" s="89"/>
      <c r="I133" s="89"/>
      <c r="J133" s="89"/>
      <c r="K133" s="89"/>
      <c r="L133" s="89"/>
    </row>
    <row r="134" spans="2:15">
      <c r="B134" s="90"/>
      <c r="C134" s="90"/>
      <c r="D134" s="91"/>
      <c r="E134" s="91"/>
      <c r="F134" s="91"/>
      <c r="G134" s="92"/>
      <c r="H134" s="89"/>
      <c r="I134" s="89"/>
      <c r="J134" s="89"/>
      <c r="K134" s="89"/>
      <c r="L134" s="89"/>
    </row>
    <row r="135" spans="2:15">
      <c r="B135" s="90"/>
      <c r="C135" s="90"/>
      <c r="D135" s="91"/>
      <c r="E135" s="91"/>
      <c r="F135" s="91"/>
      <c r="G135" s="92"/>
    </row>
    <row r="136" spans="2:15">
      <c r="B136" s="90"/>
      <c r="C136" s="90"/>
      <c r="D136" s="91"/>
      <c r="E136" s="91"/>
      <c r="F136" s="91"/>
      <c r="G136" s="92"/>
    </row>
    <row r="137" spans="2:15">
      <c r="B137" s="90"/>
      <c r="C137" s="90"/>
      <c r="D137" s="91"/>
      <c r="E137" s="91"/>
      <c r="F137" s="91"/>
      <c r="G137" s="92"/>
    </row>
    <row r="138" spans="2:15">
      <c r="B138" s="90"/>
      <c r="C138" s="90"/>
      <c r="D138" s="91"/>
      <c r="E138" s="91"/>
      <c r="F138" s="91"/>
      <c r="G138" s="92"/>
    </row>
    <row r="139" spans="2:15">
      <c r="B139" s="90"/>
      <c r="C139" s="90"/>
      <c r="D139" s="91"/>
      <c r="E139" s="91"/>
      <c r="F139" s="91"/>
      <c r="G139" s="92"/>
    </row>
    <row r="140" spans="2:15">
      <c r="B140" s="90"/>
      <c r="C140" s="90"/>
      <c r="D140" s="91"/>
      <c r="E140" s="91"/>
      <c r="F140" s="91"/>
      <c r="G140" s="92"/>
    </row>
    <row r="141" spans="2:15">
      <c r="B141" s="90"/>
      <c r="C141" s="90"/>
      <c r="D141" s="91"/>
      <c r="E141" s="91"/>
      <c r="F141" s="91"/>
      <c r="G141" s="92"/>
    </row>
    <row r="142" spans="2:15">
      <c r="B142" s="90"/>
      <c r="C142" s="90"/>
      <c r="D142" s="91"/>
      <c r="E142" s="91"/>
      <c r="F142" s="91"/>
      <c r="G142" s="92"/>
    </row>
    <row r="143" spans="2:15" s="93" customFormat="1">
      <c r="B143" s="90"/>
      <c r="C143" s="90"/>
      <c r="D143" s="91"/>
      <c r="E143" s="91"/>
      <c r="F143" s="91"/>
      <c r="G143" s="92"/>
      <c r="H143" s="64"/>
      <c r="I143" s="64"/>
      <c r="J143" s="64"/>
      <c r="K143" s="64"/>
      <c r="L143" s="64"/>
      <c r="M143" s="64"/>
      <c r="N143" s="64"/>
      <c r="O143" s="64"/>
    </row>
    <row r="144" spans="2:15" s="93" customFormat="1">
      <c r="B144" s="90"/>
      <c r="C144" s="90"/>
      <c r="D144" s="91"/>
      <c r="E144" s="91"/>
      <c r="F144" s="91"/>
      <c r="G144" s="92"/>
      <c r="H144" s="64"/>
      <c r="I144" s="64"/>
      <c r="J144" s="64"/>
      <c r="K144" s="64"/>
      <c r="L144" s="64"/>
      <c r="M144" s="64"/>
      <c r="N144" s="64"/>
      <c r="O144" s="64"/>
    </row>
    <row r="145" spans="2:15" s="93" customFormat="1">
      <c r="B145" s="90"/>
      <c r="C145" s="90"/>
      <c r="D145" s="91"/>
      <c r="E145" s="91"/>
      <c r="F145" s="91"/>
      <c r="G145" s="92"/>
      <c r="H145" s="64"/>
      <c r="I145" s="64"/>
      <c r="J145" s="64"/>
      <c r="K145" s="64"/>
      <c r="L145" s="64"/>
      <c r="M145" s="64"/>
      <c r="N145" s="64"/>
      <c r="O145" s="64"/>
    </row>
    <row r="146" spans="2:15" s="93" customFormat="1">
      <c r="B146" s="90"/>
      <c r="C146" s="90"/>
      <c r="D146" s="91"/>
      <c r="E146" s="91"/>
      <c r="F146" s="91"/>
      <c r="G146" s="92"/>
      <c r="H146" s="64"/>
      <c r="I146" s="64"/>
      <c r="J146" s="64"/>
      <c r="K146" s="64"/>
      <c r="L146" s="64"/>
      <c r="M146" s="64"/>
      <c r="N146" s="64"/>
      <c r="O146" s="64"/>
    </row>
    <row r="147" spans="2:15" s="93" customFormat="1">
      <c r="B147" s="90"/>
      <c r="C147" s="90"/>
      <c r="D147" s="91"/>
      <c r="E147" s="91"/>
      <c r="F147" s="91"/>
      <c r="G147" s="92"/>
      <c r="H147" s="64"/>
      <c r="I147" s="64"/>
      <c r="J147" s="64"/>
      <c r="K147" s="64"/>
      <c r="L147" s="64"/>
      <c r="M147" s="64"/>
      <c r="N147" s="64"/>
      <c r="O147" s="64"/>
    </row>
    <row r="148" spans="2:15" s="93" customFormat="1">
      <c r="B148" s="90"/>
      <c r="C148" s="90"/>
      <c r="D148" s="91"/>
      <c r="E148" s="91"/>
      <c r="F148" s="91"/>
      <c r="G148" s="92"/>
      <c r="H148" s="64"/>
      <c r="I148" s="64"/>
      <c r="J148" s="64"/>
      <c r="K148" s="64"/>
      <c r="L148" s="64"/>
      <c r="M148" s="64"/>
      <c r="N148" s="64"/>
      <c r="O148" s="64"/>
    </row>
    <row r="149" spans="2:15" s="93" customFormat="1">
      <c r="B149" s="90"/>
      <c r="C149" s="90"/>
      <c r="D149" s="91"/>
      <c r="E149" s="91"/>
      <c r="F149" s="91"/>
      <c r="G149" s="92"/>
      <c r="H149" s="64"/>
      <c r="I149" s="64"/>
      <c r="J149" s="64"/>
      <c r="K149" s="64"/>
      <c r="L149" s="64"/>
      <c r="M149" s="64"/>
      <c r="N149" s="64"/>
      <c r="O149" s="64"/>
    </row>
    <row r="150" spans="2:15" s="93" customFormat="1">
      <c r="B150" s="90"/>
      <c r="C150" s="90"/>
      <c r="D150" s="91"/>
      <c r="E150" s="91"/>
      <c r="F150" s="91"/>
      <c r="G150" s="92"/>
      <c r="H150" s="64"/>
      <c r="I150" s="64"/>
      <c r="J150" s="64"/>
      <c r="K150" s="64"/>
      <c r="L150" s="64"/>
      <c r="M150" s="64"/>
      <c r="N150" s="64"/>
      <c r="O150" s="64"/>
    </row>
    <row r="151" spans="2:15" s="93" customFormat="1">
      <c r="B151" s="90"/>
      <c r="C151" s="90"/>
      <c r="D151" s="91"/>
      <c r="E151" s="91"/>
      <c r="F151" s="91"/>
      <c r="G151" s="92"/>
      <c r="H151" s="64"/>
      <c r="I151" s="64"/>
      <c r="J151" s="64"/>
      <c r="K151" s="64"/>
      <c r="L151" s="64"/>
      <c r="M151" s="64"/>
      <c r="N151" s="64"/>
      <c r="O151" s="64"/>
    </row>
    <row r="152" spans="2:15" s="93" customFormat="1">
      <c r="B152" s="90"/>
      <c r="C152" s="90"/>
      <c r="D152" s="91"/>
      <c r="E152" s="91"/>
      <c r="F152" s="91"/>
      <c r="G152" s="92"/>
      <c r="H152" s="64"/>
      <c r="I152" s="64"/>
      <c r="J152" s="64"/>
      <c r="K152" s="64"/>
      <c r="L152" s="64"/>
      <c r="M152" s="64"/>
      <c r="N152" s="64"/>
      <c r="O152" s="64"/>
    </row>
    <row r="153" spans="2:15" s="93" customFormat="1">
      <c r="B153" s="90"/>
      <c r="C153" s="90"/>
      <c r="D153" s="91"/>
      <c r="E153" s="91"/>
      <c r="F153" s="91"/>
      <c r="G153" s="92"/>
      <c r="H153" s="64"/>
      <c r="I153" s="64"/>
      <c r="J153" s="64"/>
      <c r="K153" s="64"/>
      <c r="L153" s="64"/>
      <c r="M153" s="64"/>
      <c r="N153" s="64"/>
      <c r="O153" s="64"/>
    </row>
    <row r="154" spans="2:15" s="93" customFormat="1">
      <c r="B154" s="90"/>
      <c r="C154" s="90"/>
      <c r="D154" s="91"/>
      <c r="E154" s="91"/>
      <c r="F154" s="91"/>
      <c r="G154" s="92"/>
      <c r="H154" s="64"/>
      <c r="I154" s="64"/>
      <c r="J154" s="64"/>
      <c r="K154" s="64"/>
      <c r="L154" s="64"/>
      <c r="M154" s="64"/>
      <c r="N154" s="64"/>
      <c r="O154" s="64"/>
    </row>
    <row r="155" spans="2:15" s="93" customFormat="1">
      <c r="B155" s="90"/>
      <c r="C155" s="90"/>
      <c r="D155" s="91"/>
      <c r="E155" s="91"/>
      <c r="F155" s="91"/>
      <c r="G155" s="92"/>
      <c r="H155" s="64"/>
      <c r="I155" s="64"/>
      <c r="J155" s="64"/>
      <c r="K155" s="64"/>
      <c r="L155" s="64"/>
      <c r="M155" s="64"/>
      <c r="N155" s="64"/>
      <c r="O155" s="64"/>
    </row>
    <row r="156" spans="2:15" s="93" customFormat="1">
      <c r="B156" s="90"/>
      <c r="C156" s="90"/>
      <c r="D156" s="91"/>
      <c r="E156" s="91"/>
      <c r="F156" s="91"/>
      <c r="G156" s="92"/>
      <c r="H156" s="64"/>
      <c r="I156" s="64"/>
      <c r="J156" s="64"/>
      <c r="K156" s="64"/>
      <c r="L156" s="64"/>
      <c r="M156" s="64"/>
      <c r="N156" s="64"/>
      <c r="O156" s="64"/>
    </row>
    <row r="157" spans="2:15" s="93" customFormat="1">
      <c r="B157" s="90"/>
      <c r="C157" s="90"/>
      <c r="D157" s="91"/>
      <c r="E157" s="91"/>
      <c r="F157" s="91"/>
      <c r="G157" s="92"/>
      <c r="H157" s="64"/>
      <c r="I157" s="64"/>
      <c r="J157" s="64"/>
      <c r="K157" s="64"/>
      <c r="L157" s="64"/>
      <c r="M157" s="64"/>
      <c r="N157" s="64"/>
      <c r="O157" s="64"/>
    </row>
    <row r="158" spans="2:15" s="93" customFormat="1">
      <c r="B158" s="90"/>
      <c r="C158" s="90"/>
      <c r="D158" s="91"/>
      <c r="E158" s="91"/>
      <c r="F158" s="91"/>
      <c r="G158" s="92"/>
      <c r="H158" s="64"/>
      <c r="I158" s="64"/>
      <c r="J158" s="64"/>
      <c r="K158" s="64"/>
      <c r="L158" s="64"/>
      <c r="M158" s="64"/>
      <c r="N158" s="64"/>
      <c r="O158" s="64"/>
    </row>
    <row r="159" spans="2:15" s="93" customFormat="1">
      <c r="B159" s="90"/>
      <c r="C159" s="90"/>
      <c r="D159" s="91"/>
      <c r="E159" s="91"/>
      <c r="F159" s="91"/>
      <c r="G159" s="92"/>
      <c r="H159" s="64"/>
      <c r="I159" s="64"/>
      <c r="J159" s="64"/>
      <c r="K159" s="64"/>
      <c r="L159" s="64"/>
      <c r="M159" s="64"/>
      <c r="N159" s="64"/>
      <c r="O159" s="64"/>
    </row>
    <row r="160" spans="2:15" s="93" customFormat="1">
      <c r="B160" s="90"/>
      <c r="C160" s="90"/>
      <c r="D160" s="91"/>
      <c r="E160" s="91"/>
      <c r="F160" s="91"/>
      <c r="G160" s="92"/>
      <c r="H160" s="64"/>
      <c r="I160" s="64"/>
      <c r="J160" s="64"/>
      <c r="K160" s="64"/>
      <c r="L160" s="64"/>
      <c r="M160" s="64"/>
      <c r="N160" s="64"/>
      <c r="O160" s="64"/>
    </row>
    <row r="161" spans="2:15" s="93" customFormat="1">
      <c r="B161" s="90"/>
      <c r="C161" s="90"/>
      <c r="D161" s="91"/>
      <c r="E161" s="91"/>
      <c r="F161" s="91"/>
      <c r="G161" s="92"/>
      <c r="H161" s="64"/>
      <c r="I161" s="64"/>
      <c r="J161" s="64"/>
      <c r="K161" s="64"/>
      <c r="L161" s="64"/>
      <c r="M161" s="64"/>
      <c r="N161" s="64"/>
      <c r="O161" s="64"/>
    </row>
    <row r="162" spans="2:15" s="93" customFormat="1">
      <c r="B162" s="90"/>
      <c r="C162" s="90"/>
      <c r="D162" s="91"/>
      <c r="E162" s="91"/>
      <c r="F162" s="91"/>
      <c r="G162" s="92"/>
      <c r="H162" s="64"/>
      <c r="I162" s="64"/>
      <c r="J162" s="64"/>
      <c r="K162" s="64"/>
      <c r="L162" s="64"/>
      <c r="M162" s="64"/>
      <c r="N162" s="64"/>
      <c r="O162" s="64"/>
    </row>
    <row r="163" spans="2:15" s="93" customFormat="1">
      <c r="B163" s="90"/>
      <c r="C163" s="90"/>
      <c r="D163" s="91"/>
      <c r="E163" s="91"/>
      <c r="F163" s="91"/>
      <c r="G163" s="92"/>
      <c r="H163" s="64"/>
      <c r="I163" s="64"/>
      <c r="J163" s="64"/>
      <c r="K163" s="64"/>
      <c r="L163" s="64"/>
      <c r="M163" s="64"/>
      <c r="N163" s="64"/>
      <c r="O163" s="64"/>
    </row>
    <row r="164" spans="2:15" s="93" customFormat="1">
      <c r="B164" s="90"/>
      <c r="C164" s="90"/>
      <c r="D164" s="91"/>
      <c r="E164" s="91"/>
      <c r="F164" s="91"/>
      <c r="G164" s="92"/>
      <c r="H164" s="64"/>
      <c r="I164" s="64"/>
      <c r="J164" s="64"/>
      <c r="K164" s="64"/>
      <c r="L164" s="64"/>
      <c r="M164" s="64"/>
      <c r="N164" s="64"/>
      <c r="O164" s="64"/>
    </row>
    <row r="165" spans="2:15" s="93" customFormat="1">
      <c r="B165" s="90"/>
      <c r="C165" s="90"/>
      <c r="D165" s="91"/>
      <c r="E165" s="91"/>
      <c r="F165" s="91"/>
      <c r="G165" s="92"/>
      <c r="H165" s="64"/>
      <c r="I165" s="64"/>
      <c r="J165" s="64"/>
      <c r="K165" s="64"/>
      <c r="L165" s="64"/>
      <c r="M165" s="64"/>
      <c r="N165" s="64"/>
      <c r="O165" s="64"/>
    </row>
    <row r="166" spans="2:15" s="93" customFormat="1">
      <c r="B166" s="90"/>
      <c r="C166" s="90"/>
      <c r="D166" s="91"/>
      <c r="E166" s="91"/>
      <c r="F166" s="91"/>
      <c r="G166" s="92"/>
      <c r="H166" s="64"/>
      <c r="I166" s="64"/>
      <c r="J166" s="64"/>
      <c r="K166" s="64"/>
      <c r="L166" s="64"/>
      <c r="M166" s="64"/>
      <c r="N166" s="64"/>
      <c r="O166" s="64"/>
    </row>
    <row r="167" spans="2:15" s="93" customFormat="1">
      <c r="B167" s="90"/>
      <c r="C167" s="90"/>
      <c r="D167" s="91"/>
      <c r="E167" s="91"/>
      <c r="F167" s="91"/>
      <c r="G167" s="92"/>
      <c r="H167" s="64"/>
      <c r="I167" s="64"/>
      <c r="J167" s="64"/>
      <c r="K167" s="64"/>
      <c r="L167" s="64"/>
      <c r="M167" s="64"/>
      <c r="N167" s="64"/>
      <c r="O167" s="64"/>
    </row>
    <row r="168" spans="2:15" s="93" customFormat="1">
      <c r="B168" s="94"/>
      <c r="C168" s="94"/>
      <c r="G168" s="64"/>
      <c r="H168" s="64"/>
      <c r="I168" s="64"/>
      <c r="J168" s="64"/>
      <c r="K168" s="64"/>
      <c r="L168" s="64"/>
      <c r="M168" s="64"/>
      <c r="N168" s="64"/>
      <c r="O168" s="64"/>
    </row>
    <row r="169" spans="2:15" s="93" customFormat="1">
      <c r="B169" s="94"/>
      <c r="C169" s="94"/>
      <c r="G169" s="64"/>
      <c r="H169" s="64"/>
      <c r="I169" s="64"/>
      <c r="J169" s="64"/>
      <c r="K169" s="64"/>
      <c r="L169" s="64"/>
      <c r="M169" s="64"/>
      <c r="N169" s="64"/>
      <c r="O169" s="64"/>
    </row>
    <row r="170" spans="2:15" s="93" customFormat="1">
      <c r="B170" s="94"/>
      <c r="C170" s="94"/>
      <c r="G170" s="64"/>
      <c r="H170" s="64"/>
      <c r="I170" s="64"/>
      <c r="J170" s="64"/>
      <c r="K170" s="64"/>
      <c r="L170" s="64"/>
      <c r="M170" s="64"/>
      <c r="N170" s="64"/>
      <c r="O170" s="64"/>
    </row>
    <row r="171" spans="2:15" s="93" customFormat="1">
      <c r="B171" s="94"/>
      <c r="C171" s="94"/>
      <c r="G171" s="64"/>
      <c r="H171" s="64"/>
      <c r="I171" s="64"/>
      <c r="J171" s="64"/>
      <c r="K171" s="64"/>
      <c r="L171" s="64"/>
      <c r="M171" s="64"/>
      <c r="N171" s="64"/>
      <c r="O171" s="64"/>
    </row>
    <row r="172" spans="2:15" s="93" customFormat="1">
      <c r="B172" s="94"/>
      <c r="C172" s="94"/>
      <c r="G172" s="64"/>
      <c r="H172" s="64"/>
      <c r="I172" s="64"/>
      <c r="J172" s="64"/>
      <c r="K172" s="64"/>
      <c r="L172" s="64"/>
      <c r="M172" s="64"/>
      <c r="N172" s="64"/>
      <c r="O172" s="64"/>
    </row>
    <row r="173" spans="2:15" s="93" customFormat="1">
      <c r="B173" s="94"/>
      <c r="C173" s="94"/>
      <c r="G173" s="64"/>
      <c r="H173" s="64"/>
      <c r="I173" s="64"/>
      <c r="J173" s="64"/>
      <c r="K173" s="64"/>
      <c r="L173" s="64"/>
      <c r="M173" s="64"/>
      <c r="N173" s="64"/>
      <c r="O173" s="64"/>
    </row>
    <row r="174" spans="2:15" s="93" customFormat="1">
      <c r="B174" s="94"/>
      <c r="C174" s="94"/>
      <c r="G174" s="64"/>
      <c r="H174" s="64"/>
      <c r="I174" s="64"/>
      <c r="J174" s="64"/>
      <c r="K174" s="64"/>
      <c r="L174" s="64"/>
      <c r="M174" s="64"/>
      <c r="N174" s="64"/>
      <c r="O174" s="64"/>
    </row>
    <row r="175" spans="2:15" s="93" customFormat="1">
      <c r="B175" s="94"/>
      <c r="C175" s="94"/>
      <c r="G175" s="64"/>
      <c r="H175" s="64"/>
      <c r="I175" s="64"/>
      <c r="J175" s="64"/>
      <c r="K175" s="64"/>
      <c r="L175" s="64"/>
      <c r="M175" s="64"/>
      <c r="N175" s="64"/>
      <c r="O175" s="64"/>
    </row>
    <row r="176" spans="2:15" s="93" customFormat="1">
      <c r="B176" s="94"/>
      <c r="C176" s="94"/>
      <c r="G176" s="64"/>
      <c r="H176" s="64"/>
      <c r="I176" s="64"/>
      <c r="J176" s="64"/>
      <c r="K176" s="64"/>
      <c r="L176" s="64"/>
      <c r="M176" s="64"/>
      <c r="N176" s="64"/>
      <c r="O176" s="64"/>
    </row>
    <row r="177" spans="2:15" s="93" customFormat="1">
      <c r="B177" s="94"/>
      <c r="C177" s="94"/>
      <c r="G177" s="64"/>
      <c r="H177" s="64"/>
      <c r="I177" s="64"/>
      <c r="J177" s="64"/>
      <c r="K177" s="64"/>
      <c r="L177" s="64"/>
      <c r="M177" s="64"/>
      <c r="N177" s="64"/>
      <c r="O177" s="64"/>
    </row>
    <row r="178" spans="2:15" s="93" customFormat="1">
      <c r="B178" s="94"/>
      <c r="C178" s="94"/>
      <c r="G178" s="64"/>
      <c r="H178" s="64"/>
      <c r="I178" s="64"/>
      <c r="J178" s="64"/>
      <c r="K178" s="64"/>
      <c r="L178" s="64"/>
      <c r="M178" s="64"/>
      <c r="N178" s="64"/>
      <c r="O178" s="64"/>
    </row>
    <row r="179" spans="2:15" s="93" customFormat="1">
      <c r="B179" s="94"/>
      <c r="C179" s="94"/>
      <c r="G179" s="64"/>
      <c r="H179" s="64"/>
      <c r="I179" s="64"/>
      <c r="J179" s="64"/>
      <c r="K179" s="64"/>
      <c r="L179" s="64"/>
      <c r="M179" s="64"/>
      <c r="N179" s="64"/>
      <c r="O179" s="64"/>
    </row>
    <row r="180" spans="2:15" s="93" customFormat="1">
      <c r="B180" s="94"/>
      <c r="C180" s="94"/>
      <c r="G180" s="64"/>
      <c r="H180" s="64"/>
      <c r="I180" s="64"/>
      <c r="J180" s="64"/>
      <c r="K180" s="64"/>
      <c r="L180" s="64"/>
      <c r="M180" s="64"/>
      <c r="N180" s="64"/>
      <c r="O180" s="64"/>
    </row>
    <row r="181" spans="2:15" s="93" customFormat="1">
      <c r="B181" s="94"/>
      <c r="C181" s="94"/>
      <c r="G181" s="64"/>
      <c r="H181" s="64"/>
      <c r="I181" s="64"/>
      <c r="J181" s="64"/>
      <c r="K181" s="64"/>
      <c r="L181" s="64"/>
      <c r="M181" s="64"/>
      <c r="N181" s="64"/>
      <c r="O181" s="64"/>
    </row>
    <row r="182" spans="2:15" s="93" customFormat="1">
      <c r="B182" s="94"/>
      <c r="C182" s="94"/>
      <c r="G182" s="64"/>
      <c r="H182" s="64"/>
      <c r="I182" s="64"/>
      <c r="J182" s="64"/>
      <c r="K182" s="64"/>
      <c r="L182" s="64"/>
      <c r="M182" s="64"/>
      <c r="N182" s="64"/>
      <c r="O182" s="64"/>
    </row>
    <row r="183" spans="2:15" s="93" customFormat="1">
      <c r="B183" s="94"/>
      <c r="C183" s="94"/>
      <c r="G183" s="64"/>
      <c r="H183" s="64"/>
      <c r="I183" s="64"/>
      <c r="J183" s="64"/>
      <c r="K183" s="64"/>
      <c r="L183" s="64"/>
      <c r="M183" s="64"/>
      <c r="N183" s="64"/>
      <c r="O183" s="64"/>
    </row>
    <row r="184" spans="2:15" s="93" customFormat="1">
      <c r="B184" s="94"/>
      <c r="C184" s="94"/>
      <c r="G184" s="64"/>
      <c r="H184" s="64"/>
      <c r="I184" s="64"/>
      <c r="J184" s="64"/>
      <c r="K184" s="64"/>
      <c r="L184" s="64"/>
      <c r="M184" s="64"/>
      <c r="N184" s="64"/>
      <c r="O184" s="64"/>
    </row>
    <row r="185" spans="2:15" s="93" customFormat="1">
      <c r="B185" s="94"/>
      <c r="C185" s="94"/>
      <c r="G185" s="64"/>
      <c r="H185" s="64"/>
      <c r="I185" s="64"/>
      <c r="J185" s="64"/>
      <c r="K185" s="64"/>
      <c r="L185" s="64"/>
      <c r="M185" s="64"/>
      <c r="N185" s="64"/>
      <c r="O185" s="64"/>
    </row>
    <row r="186" spans="2:15" s="93" customFormat="1">
      <c r="B186" s="94"/>
      <c r="C186" s="94"/>
      <c r="G186" s="64"/>
      <c r="H186" s="64"/>
      <c r="I186" s="64"/>
      <c r="J186" s="64"/>
      <c r="K186" s="64"/>
      <c r="L186" s="64"/>
      <c r="M186" s="64"/>
      <c r="N186" s="64"/>
      <c r="O186" s="64"/>
    </row>
    <row r="187" spans="2:15" s="93" customFormat="1">
      <c r="B187" s="94"/>
      <c r="C187" s="94"/>
      <c r="G187" s="64"/>
      <c r="H187" s="64"/>
      <c r="I187" s="64"/>
      <c r="J187" s="64"/>
      <c r="K187" s="64"/>
      <c r="L187" s="64"/>
      <c r="M187" s="64"/>
      <c r="N187" s="64"/>
      <c r="O187" s="64"/>
    </row>
    <row r="188" spans="2:15" s="93" customFormat="1">
      <c r="B188" s="94"/>
      <c r="C188" s="94"/>
      <c r="G188" s="64"/>
      <c r="H188" s="64"/>
      <c r="I188" s="64"/>
      <c r="J188" s="64"/>
      <c r="K188" s="64"/>
      <c r="L188" s="64"/>
      <c r="M188" s="64"/>
      <c r="N188" s="64"/>
      <c r="O188" s="64"/>
    </row>
    <row r="189" spans="2:15" s="93" customFormat="1">
      <c r="B189" s="94"/>
      <c r="C189" s="94"/>
      <c r="G189" s="64"/>
      <c r="H189" s="64"/>
      <c r="I189" s="64"/>
      <c r="J189" s="64"/>
      <c r="K189" s="64"/>
      <c r="L189" s="64"/>
      <c r="M189" s="64"/>
      <c r="N189" s="64"/>
      <c r="O189" s="64"/>
    </row>
    <row r="190" spans="2:15" s="93" customFormat="1">
      <c r="B190" s="94"/>
      <c r="C190" s="94"/>
      <c r="G190" s="64"/>
      <c r="H190" s="64"/>
      <c r="I190" s="64"/>
      <c r="J190" s="64"/>
      <c r="K190" s="64"/>
      <c r="L190" s="64"/>
      <c r="M190" s="64"/>
      <c r="N190" s="64"/>
      <c r="O190" s="64"/>
    </row>
    <row r="191" spans="2:15" s="93" customFormat="1">
      <c r="B191" s="94"/>
      <c r="C191" s="94"/>
      <c r="G191" s="64"/>
      <c r="H191" s="64"/>
      <c r="I191" s="64"/>
      <c r="J191" s="64"/>
      <c r="K191" s="64"/>
      <c r="L191" s="64"/>
      <c r="M191" s="64"/>
      <c r="N191" s="64"/>
      <c r="O191" s="64"/>
    </row>
    <row r="192" spans="2:15" s="93" customFormat="1">
      <c r="B192" s="94"/>
      <c r="C192" s="94"/>
      <c r="G192" s="64"/>
      <c r="H192" s="64"/>
      <c r="I192" s="64"/>
      <c r="J192" s="64"/>
      <c r="K192" s="64"/>
      <c r="L192" s="64"/>
      <c r="M192" s="64"/>
      <c r="N192" s="64"/>
      <c r="O192" s="64"/>
    </row>
    <row r="193" spans="2:15" s="93" customFormat="1">
      <c r="B193" s="94"/>
      <c r="C193" s="94"/>
      <c r="G193" s="64"/>
      <c r="H193" s="64"/>
      <c r="I193" s="64"/>
      <c r="J193" s="64"/>
      <c r="K193" s="64"/>
      <c r="L193" s="64"/>
      <c r="M193" s="64"/>
      <c r="N193" s="64"/>
      <c r="O193" s="64"/>
    </row>
    <row r="194" spans="2:15" s="93" customFormat="1">
      <c r="B194" s="94"/>
      <c r="C194" s="94"/>
      <c r="G194" s="64"/>
      <c r="H194" s="64"/>
      <c r="I194" s="64"/>
      <c r="J194" s="64"/>
      <c r="K194" s="64"/>
      <c r="L194" s="64"/>
      <c r="M194" s="64"/>
      <c r="N194" s="64"/>
      <c r="O194" s="64"/>
    </row>
    <row r="195" spans="2:15" s="93" customFormat="1">
      <c r="B195" s="94"/>
      <c r="C195" s="94"/>
      <c r="G195" s="64"/>
      <c r="H195" s="64"/>
      <c r="I195" s="64"/>
      <c r="J195" s="64"/>
      <c r="K195" s="64"/>
      <c r="L195" s="64"/>
      <c r="M195" s="64"/>
      <c r="N195" s="64"/>
      <c r="O195" s="64"/>
    </row>
    <row r="196" spans="2:15" s="93" customFormat="1">
      <c r="B196" s="94"/>
      <c r="C196" s="94"/>
      <c r="G196" s="64"/>
      <c r="H196" s="64"/>
      <c r="I196" s="64"/>
      <c r="J196" s="64"/>
      <c r="K196" s="64"/>
      <c r="L196" s="64"/>
      <c r="M196" s="64"/>
      <c r="N196" s="64"/>
      <c r="O196" s="64"/>
    </row>
    <row r="197" spans="2:15" s="93" customFormat="1">
      <c r="B197" s="94"/>
      <c r="G197" s="64"/>
      <c r="H197" s="64"/>
      <c r="I197" s="64"/>
      <c r="J197" s="64"/>
      <c r="K197" s="64"/>
      <c r="L197" s="64"/>
      <c r="M197" s="64"/>
      <c r="N197" s="64"/>
      <c r="O197" s="64"/>
    </row>
    <row r="198" spans="2:15" s="93" customFormat="1">
      <c r="B198" s="94"/>
      <c r="G198" s="64"/>
      <c r="H198" s="64"/>
      <c r="I198" s="64"/>
      <c r="J198" s="64"/>
      <c r="K198" s="64"/>
      <c r="L198" s="64"/>
      <c r="M198" s="64"/>
      <c r="N198" s="64"/>
      <c r="O198" s="64"/>
    </row>
    <row r="199" spans="2:15" s="93" customFormat="1">
      <c r="B199" s="94"/>
      <c r="G199" s="64"/>
      <c r="H199" s="64"/>
      <c r="I199" s="64"/>
      <c r="J199" s="64"/>
      <c r="K199" s="64"/>
      <c r="L199" s="64"/>
      <c r="M199" s="64"/>
      <c r="N199" s="64"/>
      <c r="O199" s="64"/>
    </row>
    <row r="200" spans="2:15" s="93" customFormat="1">
      <c r="B200" s="94"/>
      <c r="G200" s="64"/>
      <c r="H200" s="64"/>
      <c r="I200" s="64"/>
      <c r="J200" s="64"/>
      <c r="K200" s="64"/>
      <c r="L200" s="64"/>
      <c r="M200" s="64"/>
      <c r="N200" s="64"/>
      <c r="O200" s="64"/>
    </row>
    <row r="201" spans="2:15" s="93" customFormat="1">
      <c r="B201" s="94"/>
      <c r="G201" s="64"/>
      <c r="H201" s="64"/>
      <c r="I201" s="64"/>
      <c r="J201" s="64"/>
      <c r="K201" s="64"/>
      <c r="L201" s="64"/>
      <c r="M201" s="64"/>
      <c r="N201" s="64"/>
      <c r="O201" s="64"/>
    </row>
    <row r="202" spans="2:15" s="93" customFormat="1">
      <c r="B202" s="94"/>
      <c r="G202" s="64"/>
      <c r="H202" s="64"/>
      <c r="I202" s="64"/>
      <c r="J202" s="64"/>
      <c r="K202" s="64"/>
      <c r="L202" s="64"/>
      <c r="M202" s="64"/>
      <c r="N202" s="64"/>
      <c r="O202" s="64"/>
    </row>
    <row r="203" spans="2:15" s="93" customFormat="1">
      <c r="B203" s="94"/>
      <c r="G203" s="64"/>
      <c r="H203" s="64"/>
      <c r="I203" s="64"/>
      <c r="J203" s="64"/>
      <c r="K203" s="64"/>
      <c r="L203" s="64"/>
      <c r="M203" s="64"/>
      <c r="N203" s="64"/>
      <c r="O203" s="64"/>
    </row>
    <row r="204" spans="2:15" s="93" customFormat="1">
      <c r="B204" s="94"/>
      <c r="G204" s="64"/>
      <c r="H204" s="64"/>
      <c r="I204" s="64"/>
      <c r="J204" s="64"/>
      <c r="K204" s="64"/>
      <c r="L204" s="64"/>
      <c r="M204" s="64"/>
      <c r="N204" s="64"/>
      <c r="O204" s="64"/>
    </row>
    <row r="205" spans="2:15" s="93" customFormat="1">
      <c r="B205" s="94"/>
      <c r="G205" s="64"/>
      <c r="H205" s="64"/>
      <c r="I205" s="64"/>
      <c r="J205" s="64"/>
      <c r="K205" s="64"/>
      <c r="L205" s="64"/>
      <c r="M205" s="64"/>
      <c r="N205" s="64"/>
      <c r="O205" s="64"/>
    </row>
    <row r="206" spans="2:15" s="93" customFormat="1">
      <c r="B206" s="94"/>
      <c r="G206" s="64"/>
      <c r="H206" s="64"/>
      <c r="I206" s="64"/>
      <c r="J206" s="64"/>
      <c r="K206" s="64"/>
      <c r="L206" s="64"/>
      <c r="M206" s="64"/>
      <c r="N206" s="64"/>
      <c r="O206" s="64"/>
    </row>
    <row r="207" spans="2:15" s="93" customFormat="1">
      <c r="B207" s="94"/>
      <c r="G207" s="64"/>
      <c r="H207" s="64"/>
      <c r="I207" s="64"/>
      <c r="J207" s="64"/>
      <c r="K207" s="64"/>
      <c r="L207" s="64"/>
      <c r="M207" s="64"/>
      <c r="N207" s="64"/>
      <c r="O207" s="64"/>
    </row>
    <row r="208" spans="2:15" s="93" customFormat="1">
      <c r="B208" s="94"/>
      <c r="G208" s="64"/>
      <c r="H208" s="64"/>
      <c r="I208" s="64"/>
      <c r="J208" s="64"/>
      <c r="K208" s="64"/>
      <c r="L208" s="64"/>
      <c r="M208" s="64"/>
      <c r="N208" s="64"/>
      <c r="O208" s="64"/>
    </row>
    <row r="209" spans="2:15" s="93" customFormat="1">
      <c r="B209" s="94"/>
      <c r="G209" s="64"/>
      <c r="H209" s="64"/>
      <c r="I209" s="64"/>
      <c r="J209" s="64"/>
      <c r="K209" s="64"/>
      <c r="L209" s="64"/>
      <c r="M209" s="64"/>
      <c r="N209" s="64"/>
      <c r="O209" s="64"/>
    </row>
    <row r="210" spans="2:15" s="93" customFormat="1">
      <c r="B210" s="94"/>
      <c r="G210" s="64"/>
      <c r="H210" s="64"/>
      <c r="I210" s="64"/>
      <c r="J210" s="64"/>
      <c r="K210" s="64"/>
      <c r="L210" s="64"/>
      <c r="M210" s="64"/>
      <c r="N210" s="64"/>
      <c r="O210" s="64"/>
    </row>
    <row r="211" spans="2:15" s="93" customFormat="1">
      <c r="B211" s="94"/>
      <c r="G211" s="64"/>
      <c r="H211" s="64"/>
      <c r="I211" s="64"/>
      <c r="J211" s="64"/>
      <c r="K211" s="64"/>
      <c r="L211" s="64"/>
      <c r="M211" s="64"/>
      <c r="N211" s="64"/>
      <c r="O211" s="64"/>
    </row>
    <row r="212" spans="2:15" s="93" customFormat="1">
      <c r="B212" s="94"/>
      <c r="G212" s="64"/>
      <c r="H212" s="64"/>
      <c r="I212" s="64"/>
      <c r="J212" s="64"/>
      <c r="K212" s="64"/>
      <c r="L212" s="64"/>
      <c r="M212" s="64"/>
      <c r="N212" s="64"/>
      <c r="O212" s="64"/>
    </row>
    <row r="213" spans="2:15" s="93" customFormat="1">
      <c r="B213" s="94"/>
      <c r="G213" s="64"/>
      <c r="H213" s="64"/>
      <c r="I213" s="64"/>
      <c r="J213" s="64"/>
      <c r="K213" s="64"/>
      <c r="L213" s="64"/>
      <c r="M213" s="64"/>
      <c r="N213" s="64"/>
      <c r="O213" s="64"/>
    </row>
    <row r="214" spans="2:15" s="93" customFormat="1">
      <c r="B214" s="94"/>
      <c r="G214" s="64"/>
      <c r="H214" s="64"/>
      <c r="I214" s="64"/>
      <c r="J214" s="64"/>
      <c r="K214" s="64"/>
      <c r="L214" s="64"/>
      <c r="M214" s="64"/>
      <c r="N214" s="64"/>
      <c r="O214" s="64"/>
    </row>
    <row r="215" spans="2:15" s="93" customFormat="1">
      <c r="B215" s="94"/>
      <c r="G215" s="64"/>
      <c r="H215" s="64"/>
      <c r="I215" s="64"/>
      <c r="J215" s="64"/>
      <c r="K215" s="64"/>
      <c r="L215" s="64"/>
      <c r="M215" s="64"/>
      <c r="N215" s="64"/>
      <c r="O215" s="64"/>
    </row>
    <row r="216" spans="2:15" s="93" customFormat="1">
      <c r="B216" s="94"/>
      <c r="G216" s="64"/>
      <c r="H216" s="64"/>
      <c r="I216" s="64"/>
      <c r="J216" s="64"/>
      <c r="K216" s="64"/>
      <c r="L216" s="64"/>
      <c r="M216" s="64"/>
      <c r="N216" s="64"/>
      <c r="O216" s="64"/>
    </row>
    <row r="217" spans="2:15" s="93" customFormat="1">
      <c r="B217" s="94"/>
      <c r="G217" s="64"/>
      <c r="H217" s="64"/>
      <c r="I217" s="64"/>
      <c r="J217" s="64"/>
      <c r="K217" s="64"/>
      <c r="L217" s="64"/>
      <c r="M217" s="64"/>
      <c r="N217" s="64"/>
      <c r="O217" s="64"/>
    </row>
    <row r="218" spans="2:15" s="93" customFormat="1">
      <c r="B218" s="94"/>
      <c r="G218" s="64"/>
      <c r="H218" s="64"/>
      <c r="I218" s="64"/>
      <c r="J218" s="64"/>
      <c r="K218" s="64"/>
      <c r="L218" s="64"/>
      <c r="M218" s="64"/>
      <c r="N218" s="64"/>
      <c r="O218" s="64"/>
    </row>
    <row r="219" spans="2:15" s="93" customFormat="1">
      <c r="B219" s="94"/>
      <c r="G219" s="64"/>
      <c r="H219" s="64"/>
      <c r="I219" s="64"/>
      <c r="J219" s="64"/>
      <c r="K219" s="64"/>
      <c r="L219" s="64"/>
      <c r="M219" s="64"/>
      <c r="N219" s="64"/>
      <c r="O219" s="64"/>
    </row>
    <row r="220" spans="2:15" s="93" customFormat="1">
      <c r="B220" s="94"/>
      <c r="G220" s="64"/>
      <c r="H220" s="64"/>
      <c r="I220" s="64"/>
      <c r="J220" s="64"/>
      <c r="K220" s="64"/>
      <c r="L220" s="64"/>
      <c r="M220" s="64"/>
      <c r="N220" s="64"/>
      <c r="O220" s="64"/>
    </row>
    <row r="221" spans="2:15" s="93" customFormat="1">
      <c r="B221" s="94"/>
      <c r="G221" s="64"/>
      <c r="H221" s="64"/>
      <c r="I221" s="64"/>
      <c r="J221" s="64"/>
      <c r="K221" s="64"/>
      <c r="L221" s="64"/>
      <c r="M221" s="64"/>
      <c r="N221" s="64"/>
      <c r="O221" s="64"/>
    </row>
    <row r="222" spans="2:15" s="93" customFormat="1">
      <c r="B222" s="94"/>
      <c r="G222" s="64"/>
      <c r="H222" s="64"/>
      <c r="I222" s="64"/>
      <c r="J222" s="64"/>
      <c r="K222" s="64"/>
      <c r="L222" s="64"/>
      <c r="M222" s="64"/>
      <c r="N222" s="64"/>
      <c r="O222" s="64"/>
    </row>
    <row r="223" spans="2:15" s="93" customFormat="1">
      <c r="B223" s="94"/>
      <c r="G223" s="64"/>
      <c r="H223" s="64"/>
      <c r="I223" s="64"/>
      <c r="J223" s="64"/>
      <c r="K223" s="64"/>
      <c r="L223" s="64"/>
      <c r="M223" s="64"/>
      <c r="N223" s="64"/>
      <c r="O223" s="64"/>
    </row>
    <row r="224" spans="2:15" s="93" customFormat="1">
      <c r="B224" s="94"/>
      <c r="G224" s="64"/>
      <c r="H224" s="64"/>
      <c r="I224" s="64"/>
      <c r="J224" s="64"/>
      <c r="K224" s="64"/>
      <c r="L224" s="64"/>
      <c r="M224" s="64"/>
      <c r="N224" s="64"/>
      <c r="O224" s="64"/>
    </row>
    <row r="225" spans="2:15" s="93" customFormat="1">
      <c r="B225" s="94"/>
      <c r="G225" s="64"/>
      <c r="H225" s="64"/>
      <c r="I225" s="64"/>
      <c r="J225" s="64"/>
      <c r="K225" s="64"/>
      <c r="L225" s="64"/>
      <c r="M225" s="64"/>
      <c r="N225" s="64"/>
      <c r="O225" s="64"/>
    </row>
    <row r="226" spans="2:15" s="93" customFormat="1">
      <c r="B226" s="94"/>
      <c r="G226" s="64"/>
      <c r="H226" s="64"/>
      <c r="I226" s="64"/>
      <c r="J226" s="64"/>
      <c r="K226" s="64"/>
      <c r="L226" s="64"/>
      <c r="M226" s="64"/>
      <c r="N226" s="64"/>
      <c r="O226" s="64"/>
    </row>
    <row r="227" spans="2:15" s="93" customFormat="1">
      <c r="B227" s="94"/>
      <c r="G227" s="64"/>
      <c r="H227" s="64"/>
      <c r="I227" s="64"/>
      <c r="J227" s="64"/>
      <c r="K227" s="64"/>
      <c r="L227" s="64"/>
      <c r="M227" s="64"/>
      <c r="N227" s="64"/>
      <c r="O227" s="64"/>
    </row>
    <row r="228" spans="2:15" s="93" customFormat="1">
      <c r="B228" s="94"/>
      <c r="G228" s="64"/>
      <c r="H228" s="64"/>
      <c r="I228" s="64"/>
      <c r="J228" s="64"/>
      <c r="K228" s="64"/>
      <c r="L228" s="64"/>
      <c r="M228" s="64"/>
      <c r="N228" s="64"/>
      <c r="O228" s="64"/>
    </row>
    <row r="229" spans="2:15" s="93" customFormat="1">
      <c r="B229" s="94"/>
      <c r="G229" s="64"/>
      <c r="H229" s="64"/>
      <c r="I229" s="64"/>
      <c r="J229" s="64"/>
      <c r="K229" s="64"/>
      <c r="L229" s="64"/>
      <c r="M229" s="64"/>
      <c r="N229" s="64"/>
      <c r="O229" s="64"/>
    </row>
    <row r="230" spans="2:15" s="93" customFormat="1">
      <c r="B230" s="94"/>
      <c r="G230" s="64"/>
      <c r="H230" s="64"/>
      <c r="I230" s="64"/>
      <c r="J230" s="64"/>
      <c r="K230" s="64"/>
      <c r="L230" s="64"/>
      <c r="M230" s="64"/>
      <c r="N230" s="64"/>
      <c r="O230" s="64"/>
    </row>
    <row r="231" spans="2:15" s="93" customFormat="1">
      <c r="B231" s="94"/>
      <c r="G231" s="64"/>
      <c r="H231" s="64"/>
      <c r="I231" s="64"/>
      <c r="J231" s="64"/>
      <c r="K231" s="64"/>
      <c r="L231" s="64"/>
      <c r="M231" s="64"/>
      <c r="N231" s="64"/>
      <c r="O231" s="64"/>
    </row>
    <row r="232" spans="2:15" s="93" customFormat="1">
      <c r="B232" s="94"/>
      <c r="G232" s="64"/>
      <c r="H232" s="64"/>
      <c r="I232" s="64"/>
      <c r="J232" s="64"/>
      <c r="K232" s="64"/>
      <c r="L232" s="64"/>
      <c r="M232" s="64"/>
      <c r="N232" s="64"/>
      <c r="O232" s="64"/>
    </row>
    <row r="233" spans="2:15" s="93" customFormat="1">
      <c r="B233" s="94"/>
      <c r="G233" s="64"/>
      <c r="H233" s="64"/>
      <c r="I233" s="64"/>
      <c r="J233" s="64"/>
      <c r="K233" s="64"/>
      <c r="L233" s="64"/>
      <c r="M233" s="64"/>
      <c r="N233" s="64"/>
      <c r="O233" s="64"/>
    </row>
    <row r="234" spans="2:15" s="93" customFormat="1">
      <c r="B234" s="94"/>
      <c r="G234" s="64"/>
      <c r="H234" s="64"/>
      <c r="I234" s="64"/>
      <c r="J234" s="64"/>
      <c r="K234" s="64"/>
      <c r="L234" s="64"/>
      <c r="M234" s="64"/>
      <c r="N234" s="64"/>
      <c r="O234" s="64"/>
    </row>
    <row r="235" spans="2:15" s="93" customFormat="1">
      <c r="B235" s="94"/>
      <c r="G235" s="64"/>
      <c r="H235" s="64"/>
      <c r="I235" s="64"/>
      <c r="J235" s="64"/>
      <c r="K235" s="64"/>
      <c r="L235" s="64"/>
      <c r="M235" s="64"/>
      <c r="N235" s="64"/>
      <c r="O235" s="64"/>
    </row>
    <row r="236" spans="2:15" s="93" customFormat="1">
      <c r="B236" s="94"/>
      <c r="G236" s="64"/>
      <c r="H236" s="64"/>
      <c r="I236" s="64"/>
      <c r="J236" s="64"/>
      <c r="K236" s="64"/>
      <c r="L236" s="64"/>
      <c r="M236" s="64"/>
      <c r="N236" s="64"/>
      <c r="O236" s="64"/>
    </row>
    <row r="237" spans="2:15" s="93" customFormat="1">
      <c r="B237" s="94"/>
      <c r="G237" s="64"/>
      <c r="H237" s="64"/>
      <c r="I237" s="64"/>
      <c r="J237" s="64"/>
      <c r="K237" s="64"/>
      <c r="L237" s="64"/>
      <c r="M237" s="64"/>
      <c r="N237" s="64"/>
      <c r="O237" s="64"/>
    </row>
    <row r="238" spans="2:15" s="93" customFormat="1">
      <c r="B238" s="94"/>
      <c r="G238" s="64"/>
      <c r="H238" s="64"/>
      <c r="I238" s="64"/>
      <c r="J238" s="64"/>
      <c r="K238" s="64"/>
      <c r="L238" s="64"/>
      <c r="M238" s="64"/>
      <c r="N238" s="64"/>
      <c r="O238" s="64"/>
    </row>
    <row r="239" spans="2:15" s="93" customFormat="1">
      <c r="B239" s="94"/>
      <c r="G239" s="64"/>
      <c r="H239" s="64"/>
      <c r="I239" s="64"/>
      <c r="J239" s="64"/>
      <c r="K239" s="64"/>
      <c r="L239" s="64"/>
      <c r="M239" s="64"/>
      <c r="N239" s="64"/>
      <c r="O239" s="64"/>
    </row>
    <row r="240" spans="2:15" s="93" customFormat="1">
      <c r="B240" s="94"/>
      <c r="G240" s="64"/>
      <c r="H240" s="64"/>
      <c r="I240" s="64"/>
      <c r="J240" s="64"/>
      <c r="K240" s="64"/>
      <c r="L240" s="64"/>
      <c r="M240" s="64"/>
      <c r="N240" s="64"/>
      <c r="O240" s="64"/>
    </row>
    <row r="241" spans="2:15" s="93" customFormat="1">
      <c r="B241" s="94"/>
      <c r="G241" s="64"/>
      <c r="H241" s="64"/>
      <c r="I241" s="64"/>
      <c r="J241" s="64"/>
      <c r="K241" s="64"/>
      <c r="L241" s="64"/>
      <c r="M241" s="64"/>
      <c r="N241" s="64"/>
      <c r="O241" s="64"/>
    </row>
    <row r="242" spans="2:15" s="93" customFormat="1">
      <c r="B242" s="94"/>
      <c r="G242" s="64"/>
      <c r="H242" s="64"/>
      <c r="I242" s="64"/>
      <c r="J242" s="64"/>
      <c r="K242" s="64"/>
      <c r="L242" s="64"/>
      <c r="M242" s="64"/>
      <c r="N242" s="64"/>
      <c r="O242" s="64"/>
    </row>
    <row r="243" spans="2:15" s="93" customFormat="1">
      <c r="B243" s="94"/>
      <c r="G243" s="64"/>
      <c r="H243" s="64"/>
      <c r="I243" s="64"/>
      <c r="J243" s="64"/>
      <c r="K243" s="64"/>
      <c r="L243" s="64"/>
      <c r="M243" s="64"/>
      <c r="N243" s="64"/>
      <c r="O243" s="64"/>
    </row>
    <row r="244" spans="2:15" s="93" customFormat="1">
      <c r="B244" s="94"/>
      <c r="G244" s="64"/>
      <c r="H244" s="64"/>
      <c r="I244" s="64"/>
      <c r="J244" s="64"/>
      <c r="K244" s="64"/>
      <c r="L244" s="64"/>
      <c r="M244" s="64"/>
      <c r="N244" s="64"/>
      <c r="O244" s="64"/>
    </row>
    <row r="245" spans="2:15" s="93" customFormat="1">
      <c r="B245" s="94"/>
      <c r="G245" s="64"/>
      <c r="H245" s="64"/>
      <c r="I245" s="64"/>
      <c r="J245" s="64"/>
      <c r="K245" s="64"/>
      <c r="L245" s="64"/>
      <c r="M245" s="64"/>
      <c r="N245" s="64"/>
      <c r="O245" s="64"/>
    </row>
    <row r="246" spans="2:15" s="93" customFormat="1">
      <c r="B246" s="94"/>
      <c r="G246" s="64"/>
      <c r="H246" s="64"/>
      <c r="I246" s="64"/>
      <c r="J246" s="64"/>
      <c r="K246" s="64"/>
      <c r="L246" s="64"/>
      <c r="M246" s="64"/>
      <c r="N246" s="64"/>
      <c r="O246" s="64"/>
    </row>
    <row r="247" spans="2:15" s="93" customFormat="1">
      <c r="B247" s="94"/>
      <c r="G247" s="64"/>
      <c r="H247" s="64"/>
      <c r="I247" s="64"/>
      <c r="J247" s="64"/>
      <c r="K247" s="64"/>
      <c r="L247" s="64"/>
      <c r="M247" s="64"/>
      <c r="N247" s="64"/>
      <c r="O247" s="64"/>
    </row>
    <row r="248" spans="2:15" s="93" customFormat="1">
      <c r="B248" s="94"/>
      <c r="G248" s="64"/>
      <c r="H248" s="64"/>
      <c r="I248" s="64"/>
      <c r="J248" s="64"/>
      <c r="K248" s="64"/>
      <c r="L248" s="64"/>
      <c r="M248" s="64"/>
      <c r="N248" s="64"/>
      <c r="O248" s="64"/>
    </row>
    <row r="249" spans="2:15" s="93" customFormat="1">
      <c r="B249" s="94"/>
      <c r="G249" s="64"/>
      <c r="H249" s="64"/>
      <c r="I249" s="64"/>
      <c r="J249" s="64"/>
      <c r="K249" s="64"/>
      <c r="L249" s="64"/>
      <c r="M249" s="64"/>
      <c r="N249" s="64"/>
      <c r="O249" s="64"/>
    </row>
    <row r="250" spans="2:15" s="93" customFormat="1">
      <c r="B250" s="94"/>
      <c r="G250" s="64"/>
      <c r="H250" s="64"/>
      <c r="I250" s="64"/>
      <c r="J250" s="64"/>
      <c r="K250" s="64"/>
      <c r="L250" s="64"/>
      <c r="M250" s="64"/>
      <c r="N250" s="64"/>
      <c r="O250" s="64"/>
    </row>
    <row r="251" spans="2:15" s="93" customFormat="1">
      <c r="B251" s="94"/>
      <c r="G251" s="64"/>
      <c r="H251" s="64"/>
      <c r="I251" s="64"/>
      <c r="J251" s="64"/>
      <c r="K251" s="64"/>
      <c r="L251" s="64"/>
      <c r="M251" s="64"/>
      <c r="N251" s="64"/>
      <c r="O251" s="64"/>
    </row>
    <row r="252" spans="2:15" s="93" customFormat="1">
      <c r="B252" s="94"/>
      <c r="G252" s="64"/>
      <c r="H252" s="64"/>
      <c r="I252" s="64"/>
      <c r="J252" s="64"/>
      <c r="K252" s="64"/>
      <c r="L252" s="64"/>
      <c r="M252" s="64"/>
      <c r="N252" s="64"/>
      <c r="O252" s="64"/>
    </row>
    <row r="253" spans="2:15" s="93" customFormat="1">
      <c r="B253" s="94"/>
      <c r="G253" s="64"/>
      <c r="H253" s="64"/>
      <c r="I253" s="64"/>
      <c r="J253" s="64"/>
      <c r="K253" s="64"/>
      <c r="L253" s="64"/>
      <c r="M253" s="64"/>
      <c r="N253" s="64"/>
      <c r="O253" s="64"/>
    </row>
    <row r="254" spans="2:15" s="93" customFormat="1">
      <c r="B254" s="94"/>
      <c r="G254" s="64"/>
      <c r="H254" s="64"/>
      <c r="I254" s="64"/>
      <c r="J254" s="64"/>
      <c r="K254" s="64"/>
      <c r="L254" s="64"/>
      <c r="M254" s="64"/>
      <c r="N254" s="64"/>
      <c r="O254" s="64"/>
    </row>
    <row r="255" spans="2:15" s="93" customFormat="1">
      <c r="B255" s="94"/>
      <c r="G255" s="64"/>
      <c r="H255" s="64"/>
      <c r="I255" s="64"/>
      <c r="J255" s="64"/>
      <c r="K255" s="64"/>
      <c r="L255" s="64"/>
      <c r="M255" s="64"/>
      <c r="N255" s="64"/>
      <c r="O255" s="64"/>
    </row>
    <row r="256" spans="2:15" s="93" customFormat="1">
      <c r="B256" s="94"/>
      <c r="G256" s="64"/>
      <c r="H256" s="64"/>
      <c r="I256" s="64"/>
      <c r="J256" s="64"/>
      <c r="K256" s="64"/>
      <c r="L256" s="64"/>
      <c r="M256" s="64"/>
      <c r="N256" s="64"/>
      <c r="O256" s="64"/>
    </row>
    <row r="257" spans="2:15" s="93" customFormat="1">
      <c r="B257" s="94"/>
      <c r="G257" s="64"/>
      <c r="H257" s="64"/>
      <c r="I257" s="64"/>
      <c r="J257" s="64"/>
      <c r="K257" s="64"/>
      <c r="L257" s="64"/>
      <c r="M257" s="64"/>
      <c r="N257" s="64"/>
      <c r="O257" s="64"/>
    </row>
    <row r="258" spans="2:15" s="93" customFormat="1">
      <c r="B258" s="94"/>
      <c r="G258" s="64"/>
      <c r="H258" s="64"/>
      <c r="I258" s="64"/>
      <c r="J258" s="64"/>
      <c r="K258" s="64"/>
      <c r="L258" s="64"/>
      <c r="M258" s="64"/>
      <c r="N258" s="64"/>
      <c r="O258" s="64"/>
    </row>
    <row r="259" spans="2:15" s="93" customFormat="1">
      <c r="B259" s="94"/>
      <c r="G259" s="64"/>
      <c r="H259" s="64"/>
      <c r="I259" s="64"/>
      <c r="J259" s="64"/>
      <c r="K259" s="64"/>
      <c r="L259" s="64"/>
      <c r="M259" s="64"/>
      <c r="N259" s="64"/>
      <c r="O259" s="64"/>
    </row>
    <row r="260" spans="2:15" s="93" customFormat="1">
      <c r="B260" s="94"/>
      <c r="G260" s="64"/>
      <c r="H260" s="64"/>
      <c r="I260" s="64"/>
      <c r="J260" s="64"/>
      <c r="K260" s="64"/>
      <c r="L260" s="64"/>
      <c r="M260" s="64"/>
      <c r="N260" s="64"/>
      <c r="O260" s="64"/>
    </row>
    <row r="261" spans="2:15" s="93" customFormat="1">
      <c r="B261" s="94"/>
      <c r="G261" s="64"/>
      <c r="H261" s="64"/>
      <c r="I261" s="64"/>
      <c r="J261" s="64"/>
      <c r="K261" s="64"/>
      <c r="L261" s="64"/>
      <c r="M261" s="64"/>
      <c r="N261" s="64"/>
      <c r="O261" s="64"/>
    </row>
    <row r="262" spans="2:15" s="93" customFormat="1">
      <c r="B262" s="94"/>
      <c r="G262" s="64"/>
      <c r="H262" s="64"/>
      <c r="I262" s="64"/>
      <c r="J262" s="64"/>
      <c r="K262" s="64"/>
      <c r="L262" s="64"/>
      <c r="M262" s="64"/>
      <c r="N262" s="64"/>
      <c r="O262" s="64"/>
    </row>
    <row r="263" spans="2:15" s="93" customFormat="1">
      <c r="B263" s="94"/>
      <c r="G263" s="64"/>
      <c r="H263" s="64"/>
      <c r="I263" s="64"/>
      <c r="J263" s="64"/>
      <c r="K263" s="64"/>
      <c r="L263" s="64"/>
      <c r="M263" s="64"/>
      <c r="N263" s="64"/>
      <c r="O263" s="64"/>
    </row>
    <row r="264" spans="2:15" s="93" customFormat="1">
      <c r="B264" s="94"/>
      <c r="G264" s="64"/>
      <c r="H264" s="64"/>
      <c r="I264" s="64"/>
      <c r="J264" s="64"/>
      <c r="K264" s="64"/>
      <c r="L264" s="64"/>
      <c r="M264" s="64"/>
      <c r="N264" s="64"/>
      <c r="O264" s="64"/>
    </row>
    <row r="265" spans="2:15" s="93" customFormat="1">
      <c r="B265" s="94"/>
      <c r="G265" s="64"/>
      <c r="H265" s="64"/>
      <c r="I265" s="64"/>
      <c r="J265" s="64"/>
      <c r="K265" s="64"/>
      <c r="L265" s="64"/>
      <c r="M265" s="64"/>
      <c r="N265" s="64"/>
      <c r="O265" s="64"/>
    </row>
    <row r="266" spans="2:15" s="93" customFormat="1">
      <c r="B266" s="94"/>
      <c r="G266" s="64"/>
      <c r="H266" s="64"/>
      <c r="I266" s="64"/>
      <c r="J266" s="64"/>
      <c r="K266" s="64"/>
      <c r="L266" s="64"/>
      <c r="M266" s="64"/>
      <c r="N266" s="64"/>
      <c r="O266" s="64"/>
    </row>
    <row r="267" spans="2:15" s="93" customFormat="1">
      <c r="B267" s="94"/>
      <c r="G267" s="64"/>
      <c r="H267" s="64"/>
      <c r="I267" s="64"/>
      <c r="J267" s="64"/>
      <c r="K267" s="64"/>
      <c r="L267" s="64"/>
      <c r="M267" s="64"/>
      <c r="N267" s="64"/>
      <c r="O267" s="64"/>
    </row>
    <row r="268" spans="2:15" s="93" customFormat="1">
      <c r="B268" s="94"/>
      <c r="G268" s="64"/>
      <c r="H268" s="64"/>
      <c r="I268" s="64"/>
      <c r="J268" s="64"/>
      <c r="K268" s="64"/>
      <c r="L268" s="64"/>
      <c r="M268" s="64"/>
      <c r="N268" s="64"/>
      <c r="O268" s="64"/>
    </row>
    <row r="269" spans="2:15" s="93" customFormat="1">
      <c r="B269" s="94"/>
      <c r="G269" s="64"/>
      <c r="H269" s="64"/>
      <c r="I269" s="64"/>
      <c r="J269" s="64"/>
      <c r="K269" s="64"/>
      <c r="L269" s="64"/>
      <c r="M269" s="64"/>
      <c r="N269" s="64"/>
      <c r="O269" s="64"/>
    </row>
    <row r="270" spans="2:15" s="93" customFormat="1">
      <c r="B270" s="94"/>
      <c r="G270" s="64"/>
      <c r="H270" s="64"/>
      <c r="I270" s="64"/>
      <c r="J270" s="64"/>
      <c r="K270" s="64"/>
      <c r="L270" s="64"/>
      <c r="M270" s="64"/>
      <c r="N270" s="64"/>
      <c r="O270" s="64"/>
    </row>
    <row r="271" spans="2:15" s="93" customFormat="1">
      <c r="B271" s="94"/>
      <c r="G271" s="64"/>
      <c r="H271" s="64"/>
      <c r="I271" s="64"/>
      <c r="J271" s="64"/>
      <c r="K271" s="64"/>
      <c r="L271" s="64"/>
      <c r="M271" s="64"/>
      <c r="N271" s="64"/>
      <c r="O271" s="64"/>
    </row>
    <row r="272" spans="2:15" s="93" customFormat="1">
      <c r="B272" s="94"/>
      <c r="G272" s="64"/>
      <c r="H272" s="64"/>
      <c r="I272" s="64"/>
      <c r="J272" s="64"/>
      <c r="K272" s="64"/>
      <c r="L272" s="64"/>
      <c r="M272" s="64"/>
      <c r="N272" s="64"/>
      <c r="O272" s="64"/>
    </row>
    <row r="273" spans="2:15" s="93" customFormat="1">
      <c r="B273" s="94"/>
      <c r="G273" s="64"/>
      <c r="H273" s="64"/>
      <c r="I273" s="64"/>
      <c r="J273" s="64"/>
      <c r="K273" s="64"/>
      <c r="L273" s="64"/>
      <c r="M273" s="64"/>
      <c r="N273" s="64"/>
      <c r="O273" s="64"/>
    </row>
    <row r="274" spans="2:15" s="93" customFormat="1">
      <c r="B274" s="94"/>
      <c r="G274" s="64"/>
      <c r="H274" s="64"/>
      <c r="I274" s="64"/>
      <c r="J274" s="64"/>
      <c r="K274" s="64"/>
      <c r="L274" s="64"/>
      <c r="M274" s="64"/>
      <c r="N274" s="64"/>
      <c r="O274" s="64"/>
    </row>
    <row r="275" spans="2:15" s="93" customFormat="1">
      <c r="B275" s="94"/>
      <c r="G275" s="64"/>
      <c r="H275" s="64"/>
      <c r="I275" s="64"/>
      <c r="J275" s="64"/>
      <c r="K275" s="64"/>
      <c r="L275" s="64"/>
      <c r="M275" s="64"/>
      <c r="N275" s="64"/>
      <c r="O275" s="64"/>
    </row>
    <row r="276" spans="2:15" s="93" customFormat="1">
      <c r="B276" s="94"/>
      <c r="G276" s="64"/>
      <c r="H276" s="64"/>
      <c r="I276" s="64"/>
      <c r="J276" s="64"/>
      <c r="K276" s="64"/>
      <c r="L276" s="64"/>
      <c r="M276" s="64"/>
      <c r="N276" s="64"/>
      <c r="O276" s="64"/>
    </row>
    <row r="277" spans="2:15" s="93" customFormat="1">
      <c r="B277" s="94"/>
      <c r="G277" s="64"/>
      <c r="H277" s="64"/>
      <c r="I277" s="64"/>
      <c r="J277" s="64"/>
      <c r="K277" s="64"/>
      <c r="L277" s="64"/>
      <c r="M277" s="64"/>
      <c r="N277" s="64"/>
      <c r="O277" s="64"/>
    </row>
    <row r="278" spans="2:15" s="93" customFormat="1">
      <c r="B278" s="94"/>
      <c r="G278" s="64"/>
      <c r="H278" s="64"/>
      <c r="I278" s="64"/>
      <c r="J278" s="64"/>
      <c r="K278" s="64"/>
      <c r="L278" s="64"/>
      <c r="M278" s="64"/>
      <c r="N278" s="64"/>
      <c r="O278" s="64"/>
    </row>
    <row r="279" spans="2:15" s="93" customFormat="1">
      <c r="B279" s="94"/>
      <c r="G279" s="64"/>
      <c r="H279" s="64"/>
      <c r="I279" s="64"/>
      <c r="J279" s="64"/>
      <c r="K279" s="64"/>
      <c r="L279" s="64"/>
      <c r="M279" s="64"/>
      <c r="N279" s="64"/>
      <c r="O279" s="64"/>
    </row>
    <row r="280" spans="2:15" s="93" customFormat="1">
      <c r="B280" s="94"/>
      <c r="G280" s="64"/>
      <c r="H280" s="64"/>
      <c r="I280" s="64"/>
      <c r="J280" s="64"/>
      <c r="K280" s="64"/>
      <c r="L280" s="64"/>
      <c r="M280" s="64"/>
      <c r="N280" s="64"/>
      <c r="O280" s="64"/>
    </row>
    <row r="281" spans="2:15" s="93" customFormat="1">
      <c r="B281" s="94"/>
      <c r="G281" s="64"/>
      <c r="H281" s="64"/>
      <c r="I281" s="64"/>
      <c r="J281" s="64"/>
      <c r="K281" s="64"/>
      <c r="L281" s="64"/>
      <c r="M281" s="64"/>
      <c r="N281" s="64"/>
      <c r="O281" s="64"/>
    </row>
    <row r="282" spans="2:15" s="93" customFormat="1">
      <c r="B282" s="94"/>
      <c r="G282" s="64"/>
      <c r="H282" s="64"/>
      <c r="I282" s="64"/>
      <c r="J282" s="64"/>
      <c r="K282" s="64"/>
      <c r="L282" s="64"/>
      <c r="M282" s="64"/>
      <c r="N282" s="64"/>
      <c r="O282" s="64"/>
    </row>
    <row r="283" spans="2:15" s="93" customFormat="1">
      <c r="B283" s="94"/>
      <c r="G283" s="64"/>
      <c r="H283" s="64"/>
      <c r="I283" s="64"/>
      <c r="J283" s="64"/>
      <c r="K283" s="64"/>
      <c r="L283" s="64"/>
      <c r="M283" s="64"/>
      <c r="N283" s="64"/>
      <c r="O283" s="64"/>
    </row>
    <row r="284" spans="2:15" s="93" customFormat="1">
      <c r="B284" s="94"/>
      <c r="G284" s="64"/>
      <c r="H284" s="64"/>
      <c r="I284" s="64"/>
      <c r="J284" s="64"/>
      <c r="K284" s="64"/>
      <c r="L284" s="64"/>
      <c r="M284" s="64"/>
      <c r="N284" s="64"/>
      <c r="O284" s="64"/>
    </row>
    <row r="285" spans="2:15" s="93" customFormat="1">
      <c r="B285" s="94"/>
      <c r="G285" s="64"/>
      <c r="H285" s="64"/>
      <c r="I285" s="64"/>
      <c r="J285" s="64"/>
      <c r="K285" s="64"/>
      <c r="L285" s="64"/>
      <c r="M285" s="64"/>
      <c r="N285" s="64"/>
      <c r="O285" s="64"/>
    </row>
    <row r="286" spans="2:15" s="93" customFormat="1">
      <c r="B286" s="94"/>
      <c r="G286" s="64"/>
      <c r="H286" s="64"/>
      <c r="I286" s="64"/>
      <c r="J286" s="64"/>
      <c r="K286" s="64"/>
      <c r="L286" s="64"/>
      <c r="M286" s="64"/>
      <c r="N286" s="64"/>
      <c r="O286" s="64"/>
    </row>
    <row r="287" spans="2:15" s="93" customFormat="1">
      <c r="B287" s="94"/>
      <c r="G287" s="64"/>
      <c r="H287" s="64"/>
      <c r="I287" s="64"/>
      <c r="J287" s="64"/>
      <c r="K287" s="64"/>
      <c r="L287" s="64"/>
      <c r="M287" s="64"/>
      <c r="N287" s="64"/>
      <c r="O287" s="64"/>
    </row>
    <row r="288" spans="2:15" s="93" customFormat="1">
      <c r="B288" s="94"/>
      <c r="G288" s="64"/>
      <c r="H288" s="64"/>
      <c r="I288" s="64"/>
      <c r="J288" s="64"/>
      <c r="K288" s="64"/>
      <c r="L288" s="64"/>
      <c r="M288" s="64"/>
      <c r="N288" s="64"/>
      <c r="O288" s="64"/>
    </row>
    <row r="289" spans="2:15" s="93" customFormat="1">
      <c r="B289" s="94"/>
      <c r="G289" s="64"/>
      <c r="H289" s="64"/>
      <c r="I289" s="64"/>
      <c r="J289" s="64"/>
      <c r="K289" s="64"/>
      <c r="L289" s="64"/>
      <c r="M289" s="64"/>
      <c r="N289" s="64"/>
      <c r="O289" s="64"/>
    </row>
  </sheetData>
  <mergeCells count="92">
    <mergeCell ref="D25:G25"/>
    <mergeCell ref="B1:N1"/>
    <mergeCell ref="B4:G5"/>
    <mergeCell ref="H4:N5"/>
    <mergeCell ref="B7:G7"/>
    <mergeCell ref="B8:G8"/>
    <mergeCell ref="C9:G9"/>
    <mergeCell ref="D10:G10"/>
    <mergeCell ref="F11:G11"/>
    <mergeCell ref="F12:G12"/>
    <mergeCell ref="F19:G19"/>
    <mergeCell ref="F24:G24"/>
    <mergeCell ref="D39:G39"/>
    <mergeCell ref="D26:G26"/>
    <mergeCell ref="D27:G27"/>
    <mergeCell ref="F28:G28"/>
    <mergeCell ref="F29:G29"/>
    <mergeCell ref="F30:G30"/>
    <mergeCell ref="D31:G31"/>
    <mergeCell ref="D32:G32"/>
    <mergeCell ref="D33:G33"/>
    <mergeCell ref="D34:G34"/>
    <mergeCell ref="D35:G35"/>
    <mergeCell ref="C38:G38"/>
    <mergeCell ref="F51:G51"/>
    <mergeCell ref="F40:G40"/>
    <mergeCell ref="F41:G41"/>
    <mergeCell ref="D42:G42"/>
    <mergeCell ref="F43:G43"/>
    <mergeCell ref="F44:G44"/>
    <mergeCell ref="F45:G45"/>
    <mergeCell ref="F46:G46"/>
    <mergeCell ref="F47:G47"/>
    <mergeCell ref="F48:G48"/>
    <mergeCell ref="F49:G49"/>
    <mergeCell ref="F50:G50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D60:G60"/>
    <mergeCell ref="F61:G61"/>
    <mergeCell ref="F62:G62"/>
    <mergeCell ref="F75:G75"/>
    <mergeCell ref="D64:G64"/>
    <mergeCell ref="D65:G65"/>
    <mergeCell ref="D66:G66"/>
    <mergeCell ref="F67:G67"/>
    <mergeCell ref="F68:G68"/>
    <mergeCell ref="F69:G69"/>
    <mergeCell ref="F70:G70"/>
    <mergeCell ref="F71:G71"/>
    <mergeCell ref="D72:G72"/>
    <mergeCell ref="D73:G73"/>
    <mergeCell ref="F74:G74"/>
    <mergeCell ref="C90:G90"/>
    <mergeCell ref="F76:G76"/>
    <mergeCell ref="D77:G77"/>
    <mergeCell ref="D78:G78"/>
    <mergeCell ref="F79:G79"/>
    <mergeCell ref="F80:G80"/>
    <mergeCell ref="D81:G81"/>
    <mergeCell ref="F82:G82"/>
    <mergeCell ref="F83:G83"/>
    <mergeCell ref="F84:G84"/>
    <mergeCell ref="F85:G85"/>
    <mergeCell ref="B88:G88"/>
    <mergeCell ref="F106:G106"/>
    <mergeCell ref="D91:G91"/>
    <mergeCell ref="D92:G92"/>
    <mergeCell ref="C95:G95"/>
    <mergeCell ref="D96:G96"/>
    <mergeCell ref="D97:G97"/>
    <mergeCell ref="C100:G100"/>
    <mergeCell ref="D101:G101"/>
    <mergeCell ref="F102:G102"/>
    <mergeCell ref="F103:G103"/>
    <mergeCell ref="D104:G104"/>
    <mergeCell ref="F105:G105"/>
    <mergeCell ref="D117:G117"/>
    <mergeCell ref="D118:G118"/>
    <mergeCell ref="C111:G111"/>
    <mergeCell ref="D112:G112"/>
    <mergeCell ref="F113:G113"/>
    <mergeCell ref="F114:G114"/>
    <mergeCell ref="F115:G115"/>
    <mergeCell ref="F116:G116"/>
  </mergeCells>
  <printOptions horizontalCentered="1"/>
  <pageMargins left="0.59055118110236227" right="0.62992125984251968" top="0.39370078740157483" bottom="0.39370078740157483" header="0.19685039370078741" footer="0.19685039370078741"/>
  <pageSetup paperSize="9" scale="65" fitToHeight="0" orientation="landscape" r:id="rId1"/>
  <headerFooter alignWithMargins="0">
    <oddFooter>&amp;C&amp;"Garamond,Corsivo"&amp;P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867F0-9618-4DB0-9D1C-000A43CB335E}">
  <dimension ref="A1:AD656"/>
  <sheetViews>
    <sheetView showGridLines="0" view="pageBreakPreview" topLeftCell="A575" zoomScale="80" zoomScaleNormal="100" zoomScaleSheetLayoutView="80" workbookViewId="0">
      <selection activeCell="D589" sqref="A25:D589"/>
    </sheetView>
  </sheetViews>
  <sheetFormatPr defaultColWidth="10.28515625" defaultRowHeight="18"/>
  <cols>
    <col min="1" max="1" width="9.5703125" style="365" customWidth="1"/>
    <col min="2" max="2" width="10.5703125" style="363" customWidth="1"/>
    <col min="3" max="3" width="53" style="363" customWidth="1"/>
    <col min="4" max="4" width="23.7109375" style="381" customWidth="1"/>
    <col min="5" max="5" width="3.42578125" style="474" customWidth="1"/>
    <col min="6" max="6" width="3.28515625" style="474" customWidth="1"/>
    <col min="7" max="8" width="3.28515625" style="474" bestFit="1" customWidth="1"/>
    <col min="9" max="9" width="3.28515625" style="474" customWidth="1"/>
    <col min="10" max="10" width="12.42578125" style="474" customWidth="1"/>
    <col min="11" max="11" width="1.7109375" style="474" customWidth="1"/>
    <col min="12" max="12" width="3.140625" style="474" customWidth="1"/>
    <col min="13" max="21" width="3.28515625" style="474" customWidth="1"/>
    <col min="22" max="22" width="1.7109375" style="474" customWidth="1"/>
    <col min="23" max="23" width="3.42578125" style="365" customWidth="1"/>
    <col min="24" max="24" width="3.28515625" style="365" customWidth="1"/>
    <col min="25" max="25" width="5.28515625" style="365" customWidth="1"/>
    <col min="26" max="28" width="3.28515625" style="365" customWidth="1"/>
    <col min="29" max="29" width="12.5703125" style="369" customWidth="1"/>
    <col min="30" max="30" width="13" style="488" customWidth="1"/>
    <col min="31" max="230" width="10.28515625" style="365"/>
    <col min="231" max="239" width="9.140625" style="365" customWidth="1"/>
    <col min="240" max="240" width="1" style="365" customWidth="1"/>
    <col min="241" max="244" width="3.28515625" style="365" customWidth="1"/>
    <col min="245" max="245" width="1.85546875" style="365" customWidth="1"/>
    <col min="246" max="246" width="17.85546875" style="365" customWidth="1"/>
    <col min="247" max="247" width="1.85546875" style="365" customWidth="1"/>
    <col min="248" max="251" width="3.28515625" style="365" customWidth="1"/>
    <col min="252" max="252" width="1.85546875" style="365" customWidth="1"/>
    <col min="253" max="253" width="12.42578125" style="365" customWidth="1"/>
    <col min="254" max="254" width="1.85546875" style="365" customWidth="1"/>
    <col min="255" max="257" width="3" style="365" customWidth="1"/>
    <col min="258" max="258" width="4.42578125" style="365" customWidth="1"/>
    <col min="259" max="260" width="3" style="365" customWidth="1"/>
    <col min="261" max="266" width="3.28515625" style="365" customWidth="1"/>
    <col min="267" max="268" width="9.140625" style="365" customWidth="1"/>
    <col min="269" max="272" width="3.28515625" style="365" customWidth="1"/>
    <col min="273" max="273" width="4.140625" style="365" customWidth="1"/>
    <col min="274" max="486" width="10.28515625" style="365"/>
    <col min="487" max="495" width="9.140625" style="365" customWidth="1"/>
    <col min="496" max="496" width="1" style="365" customWidth="1"/>
    <col min="497" max="500" width="3.28515625" style="365" customWidth="1"/>
    <col min="501" max="501" width="1.85546875" style="365" customWidth="1"/>
    <col min="502" max="502" width="17.85546875" style="365" customWidth="1"/>
    <col min="503" max="503" width="1.85546875" style="365" customWidth="1"/>
    <col min="504" max="507" width="3.28515625" style="365" customWidth="1"/>
    <col min="508" max="508" width="1.85546875" style="365" customWidth="1"/>
    <col min="509" max="509" width="12.42578125" style="365" customWidth="1"/>
    <col min="510" max="510" width="1.85546875" style="365" customWidth="1"/>
    <col min="511" max="513" width="3" style="365" customWidth="1"/>
    <col min="514" max="514" width="4.42578125" style="365" customWidth="1"/>
    <col min="515" max="516" width="3" style="365" customWidth="1"/>
    <col min="517" max="522" width="3.28515625" style="365" customWidth="1"/>
    <col min="523" max="524" width="9.140625" style="365" customWidth="1"/>
    <col min="525" max="528" width="3.28515625" style="365" customWidth="1"/>
    <col min="529" max="529" width="4.140625" style="365" customWidth="1"/>
    <col min="530" max="742" width="10.28515625" style="365"/>
    <col min="743" max="751" width="9.140625" style="365" customWidth="1"/>
    <col min="752" max="752" width="1" style="365" customWidth="1"/>
    <col min="753" max="756" width="3.28515625" style="365" customWidth="1"/>
    <col min="757" max="757" width="1.85546875" style="365" customWidth="1"/>
    <col min="758" max="758" width="17.85546875" style="365" customWidth="1"/>
    <col min="759" max="759" width="1.85546875" style="365" customWidth="1"/>
    <col min="760" max="763" width="3.28515625" style="365" customWidth="1"/>
    <col min="764" max="764" width="1.85546875" style="365" customWidth="1"/>
    <col min="765" max="765" width="12.42578125" style="365" customWidth="1"/>
    <col min="766" max="766" width="1.85546875" style="365" customWidth="1"/>
    <col min="767" max="769" width="3" style="365" customWidth="1"/>
    <col min="770" max="770" width="4.42578125" style="365" customWidth="1"/>
    <col min="771" max="772" width="3" style="365" customWidth="1"/>
    <col min="773" max="778" width="3.28515625" style="365" customWidth="1"/>
    <col min="779" max="780" width="9.140625" style="365" customWidth="1"/>
    <col min="781" max="784" width="3.28515625" style="365" customWidth="1"/>
    <col min="785" max="785" width="4.140625" style="365" customWidth="1"/>
    <col min="786" max="998" width="10.28515625" style="365"/>
    <col min="999" max="1007" width="9.140625" style="365" customWidth="1"/>
    <col min="1008" max="1008" width="1" style="365" customWidth="1"/>
    <col min="1009" max="1012" width="3.28515625" style="365" customWidth="1"/>
    <col min="1013" max="1013" width="1.85546875" style="365" customWidth="1"/>
    <col min="1014" max="1014" width="17.85546875" style="365" customWidth="1"/>
    <col min="1015" max="1015" width="1.85546875" style="365" customWidth="1"/>
    <col min="1016" max="1019" width="3.28515625" style="365" customWidth="1"/>
    <col min="1020" max="1020" width="1.85546875" style="365" customWidth="1"/>
    <col min="1021" max="1021" width="12.42578125" style="365" customWidth="1"/>
    <col min="1022" max="1022" width="1.85546875" style="365" customWidth="1"/>
    <col min="1023" max="1025" width="3" style="365" customWidth="1"/>
    <col min="1026" max="1026" width="4.42578125" style="365" customWidth="1"/>
    <col min="1027" max="1028" width="3" style="365" customWidth="1"/>
    <col min="1029" max="1034" width="3.28515625" style="365" customWidth="1"/>
    <col min="1035" max="1036" width="9.140625" style="365" customWidth="1"/>
    <col min="1037" max="1040" width="3.28515625" style="365" customWidth="1"/>
    <col min="1041" max="1041" width="4.140625" style="365" customWidth="1"/>
    <col min="1042" max="1254" width="10.28515625" style="365"/>
    <col min="1255" max="1263" width="9.140625" style="365" customWidth="1"/>
    <col min="1264" max="1264" width="1" style="365" customWidth="1"/>
    <col min="1265" max="1268" width="3.28515625" style="365" customWidth="1"/>
    <col min="1269" max="1269" width="1.85546875" style="365" customWidth="1"/>
    <col min="1270" max="1270" width="17.85546875" style="365" customWidth="1"/>
    <col min="1271" max="1271" width="1.85546875" style="365" customWidth="1"/>
    <col min="1272" max="1275" width="3.28515625" style="365" customWidth="1"/>
    <col min="1276" max="1276" width="1.85546875" style="365" customWidth="1"/>
    <col min="1277" max="1277" width="12.42578125" style="365" customWidth="1"/>
    <col min="1278" max="1278" width="1.85546875" style="365" customWidth="1"/>
    <col min="1279" max="1281" width="3" style="365" customWidth="1"/>
    <col min="1282" max="1282" width="4.42578125" style="365" customWidth="1"/>
    <col min="1283" max="1284" width="3" style="365" customWidth="1"/>
    <col min="1285" max="1290" width="3.28515625" style="365" customWidth="1"/>
    <col min="1291" max="1292" width="9.140625" style="365" customWidth="1"/>
    <col min="1293" max="1296" width="3.28515625" style="365" customWidth="1"/>
    <col min="1297" max="1297" width="4.140625" style="365" customWidth="1"/>
    <col min="1298" max="1510" width="10.28515625" style="365"/>
    <col min="1511" max="1519" width="9.140625" style="365" customWidth="1"/>
    <col min="1520" max="1520" width="1" style="365" customWidth="1"/>
    <col min="1521" max="1524" width="3.28515625" style="365" customWidth="1"/>
    <col min="1525" max="1525" width="1.85546875" style="365" customWidth="1"/>
    <col min="1526" max="1526" width="17.85546875" style="365" customWidth="1"/>
    <col min="1527" max="1527" width="1.85546875" style="365" customWidth="1"/>
    <col min="1528" max="1531" width="3.28515625" style="365" customWidth="1"/>
    <col min="1532" max="1532" width="1.85546875" style="365" customWidth="1"/>
    <col min="1533" max="1533" width="12.42578125" style="365" customWidth="1"/>
    <col min="1534" max="1534" width="1.85546875" style="365" customWidth="1"/>
    <col min="1535" max="1537" width="3" style="365" customWidth="1"/>
    <col min="1538" max="1538" width="4.42578125" style="365" customWidth="1"/>
    <col min="1539" max="1540" width="3" style="365" customWidth="1"/>
    <col min="1541" max="1546" width="3.28515625" style="365" customWidth="1"/>
    <col min="1547" max="1548" width="9.140625" style="365" customWidth="1"/>
    <col min="1549" max="1552" width="3.28515625" style="365" customWidth="1"/>
    <col min="1553" max="1553" width="4.140625" style="365" customWidth="1"/>
    <col min="1554" max="1766" width="10.28515625" style="365"/>
    <col min="1767" max="1775" width="9.140625" style="365" customWidth="1"/>
    <col min="1776" max="1776" width="1" style="365" customWidth="1"/>
    <col min="1777" max="1780" width="3.28515625" style="365" customWidth="1"/>
    <col min="1781" max="1781" width="1.85546875" style="365" customWidth="1"/>
    <col min="1782" max="1782" width="17.85546875" style="365" customWidth="1"/>
    <col min="1783" max="1783" width="1.85546875" style="365" customWidth="1"/>
    <col min="1784" max="1787" width="3.28515625" style="365" customWidth="1"/>
    <col min="1788" max="1788" width="1.85546875" style="365" customWidth="1"/>
    <col min="1789" max="1789" width="12.42578125" style="365" customWidth="1"/>
    <col min="1790" max="1790" width="1.85546875" style="365" customWidth="1"/>
    <col min="1791" max="1793" width="3" style="365" customWidth="1"/>
    <col min="1794" max="1794" width="4.42578125" style="365" customWidth="1"/>
    <col min="1795" max="1796" width="3" style="365" customWidth="1"/>
    <col min="1797" max="1802" width="3.28515625" style="365" customWidth="1"/>
    <col min="1803" max="1804" width="9.140625" style="365" customWidth="1"/>
    <col min="1805" max="1808" width="3.28515625" style="365" customWidth="1"/>
    <col min="1809" max="1809" width="4.140625" style="365" customWidth="1"/>
    <col min="1810" max="2022" width="10.28515625" style="365"/>
    <col min="2023" max="2031" width="9.140625" style="365" customWidth="1"/>
    <col min="2032" max="2032" width="1" style="365" customWidth="1"/>
    <col min="2033" max="2036" width="3.28515625" style="365" customWidth="1"/>
    <col min="2037" max="2037" width="1.85546875" style="365" customWidth="1"/>
    <col min="2038" max="2038" width="17.85546875" style="365" customWidth="1"/>
    <col min="2039" max="2039" width="1.85546875" style="365" customWidth="1"/>
    <col min="2040" max="2043" width="3.28515625" style="365" customWidth="1"/>
    <col min="2044" max="2044" width="1.85546875" style="365" customWidth="1"/>
    <col min="2045" max="2045" width="12.42578125" style="365" customWidth="1"/>
    <col min="2046" max="2046" width="1.85546875" style="365" customWidth="1"/>
    <col min="2047" max="2049" width="3" style="365" customWidth="1"/>
    <col min="2050" max="2050" width="4.42578125" style="365" customWidth="1"/>
    <col min="2051" max="2052" width="3" style="365" customWidth="1"/>
    <col min="2053" max="2058" width="3.28515625" style="365" customWidth="1"/>
    <col min="2059" max="2060" width="9.140625" style="365" customWidth="1"/>
    <col min="2061" max="2064" width="3.28515625" style="365" customWidth="1"/>
    <col min="2065" max="2065" width="4.140625" style="365" customWidth="1"/>
    <col min="2066" max="2278" width="10.28515625" style="365"/>
    <col min="2279" max="2287" width="9.140625" style="365" customWidth="1"/>
    <col min="2288" max="2288" width="1" style="365" customWidth="1"/>
    <col min="2289" max="2292" width="3.28515625" style="365" customWidth="1"/>
    <col min="2293" max="2293" width="1.85546875" style="365" customWidth="1"/>
    <col min="2294" max="2294" width="17.85546875" style="365" customWidth="1"/>
    <col min="2295" max="2295" width="1.85546875" style="365" customWidth="1"/>
    <col min="2296" max="2299" width="3.28515625" style="365" customWidth="1"/>
    <col min="2300" max="2300" width="1.85546875" style="365" customWidth="1"/>
    <col min="2301" max="2301" width="12.42578125" style="365" customWidth="1"/>
    <col min="2302" max="2302" width="1.85546875" style="365" customWidth="1"/>
    <col min="2303" max="2305" width="3" style="365" customWidth="1"/>
    <col min="2306" max="2306" width="4.42578125" style="365" customWidth="1"/>
    <col min="2307" max="2308" width="3" style="365" customWidth="1"/>
    <col min="2309" max="2314" width="3.28515625" style="365" customWidth="1"/>
    <col min="2315" max="2316" width="9.140625" style="365" customWidth="1"/>
    <col min="2317" max="2320" width="3.28515625" style="365" customWidth="1"/>
    <col min="2321" max="2321" width="4.140625" style="365" customWidth="1"/>
    <col min="2322" max="2534" width="10.28515625" style="365"/>
    <col min="2535" max="2543" width="9.140625" style="365" customWidth="1"/>
    <col min="2544" max="2544" width="1" style="365" customWidth="1"/>
    <col min="2545" max="2548" width="3.28515625" style="365" customWidth="1"/>
    <col min="2549" max="2549" width="1.85546875" style="365" customWidth="1"/>
    <col min="2550" max="2550" width="17.85546875" style="365" customWidth="1"/>
    <col min="2551" max="2551" width="1.85546875" style="365" customWidth="1"/>
    <col min="2552" max="2555" width="3.28515625" style="365" customWidth="1"/>
    <col min="2556" max="2556" width="1.85546875" style="365" customWidth="1"/>
    <col min="2557" max="2557" width="12.42578125" style="365" customWidth="1"/>
    <col min="2558" max="2558" width="1.85546875" style="365" customWidth="1"/>
    <col min="2559" max="2561" width="3" style="365" customWidth="1"/>
    <col min="2562" max="2562" width="4.42578125" style="365" customWidth="1"/>
    <col min="2563" max="2564" width="3" style="365" customWidth="1"/>
    <col min="2565" max="2570" width="3.28515625" style="365" customWidth="1"/>
    <col min="2571" max="2572" width="9.140625" style="365" customWidth="1"/>
    <col min="2573" max="2576" width="3.28515625" style="365" customWidth="1"/>
    <col min="2577" max="2577" width="4.140625" style="365" customWidth="1"/>
    <col min="2578" max="2790" width="10.28515625" style="365"/>
    <col min="2791" max="2799" width="9.140625" style="365" customWidth="1"/>
    <col min="2800" max="2800" width="1" style="365" customWidth="1"/>
    <col min="2801" max="2804" width="3.28515625" style="365" customWidth="1"/>
    <col min="2805" max="2805" width="1.85546875" style="365" customWidth="1"/>
    <col min="2806" max="2806" width="17.85546875" style="365" customWidth="1"/>
    <col min="2807" max="2807" width="1.85546875" style="365" customWidth="1"/>
    <col min="2808" max="2811" width="3.28515625" style="365" customWidth="1"/>
    <col min="2812" max="2812" width="1.85546875" style="365" customWidth="1"/>
    <col min="2813" max="2813" width="12.42578125" style="365" customWidth="1"/>
    <col min="2814" max="2814" width="1.85546875" style="365" customWidth="1"/>
    <col min="2815" max="2817" width="3" style="365" customWidth="1"/>
    <col min="2818" max="2818" width="4.42578125" style="365" customWidth="1"/>
    <col min="2819" max="2820" width="3" style="365" customWidth="1"/>
    <col min="2821" max="2826" width="3.28515625" style="365" customWidth="1"/>
    <col min="2827" max="2828" width="9.140625" style="365" customWidth="1"/>
    <col min="2829" max="2832" width="3.28515625" style="365" customWidth="1"/>
    <col min="2833" max="2833" width="4.140625" style="365" customWidth="1"/>
    <col min="2834" max="3046" width="10.28515625" style="365"/>
    <col min="3047" max="3055" width="9.140625" style="365" customWidth="1"/>
    <col min="3056" max="3056" width="1" style="365" customWidth="1"/>
    <col min="3057" max="3060" width="3.28515625" style="365" customWidth="1"/>
    <col min="3061" max="3061" width="1.85546875" style="365" customWidth="1"/>
    <col min="3062" max="3062" width="17.85546875" style="365" customWidth="1"/>
    <col min="3063" max="3063" width="1.85546875" style="365" customWidth="1"/>
    <col min="3064" max="3067" width="3.28515625" style="365" customWidth="1"/>
    <col min="3068" max="3068" width="1.85546875" style="365" customWidth="1"/>
    <col min="3069" max="3069" width="12.42578125" style="365" customWidth="1"/>
    <col min="3070" max="3070" width="1.85546875" style="365" customWidth="1"/>
    <col min="3071" max="3073" width="3" style="365" customWidth="1"/>
    <col min="3074" max="3074" width="4.42578125" style="365" customWidth="1"/>
    <col min="3075" max="3076" width="3" style="365" customWidth="1"/>
    <col min="3077" max="3082" width="3.28515625" style="365" customWidth="1"/>
    <col min="3083" max="3084" width="9.140625" style="365" customWidth="1"/>
    <col min="3085" max="3088" width="3.28515625" style="365" customWidth="1"/>
    <col min="3089" max="3089" width="4.140625" style="365" customWidth="1"/>
    <col min="3090" max="3302" width="10.28515625" style="365"/>
    <col min="3303" max="3311" width="9.140625" style="365" customWidth="1"/>
    <col min="3312" max="3312" width="1" style="365" customWidth="1"/>
    <col min="3313" max="3316" width="3.28515625" style="365" customWidth="1"/>
    <col min="3317" max="3317" width="1.85546875" style="365" customWidth="1"/>
    <col min="3318" max="3318" width="17.85546875" style="365" customWidth="1"/>
    <col min="3319" max="3319" width="1.85546875" style="365" customWidth="1"/>
    <col min="3320" max="3323" width="3.28515625" style="365" customWidth="1"/>
    <col min="3324" max="3324" width="1.85546875" style="365" customWidth="1"/>
    <col min="3325" max="3325" width="12.42578125" style="365" customWidth="1"/>
    <col min="3326" max="3326" width="1.85546875" style="365" customWidth="1"/>
    <col min="3327" max="3329" width="3" style="365" customWidth="1"/>
    <col min="3330" max="3330" width="4.42578125" style="365" customWidth="1"/>
    <col min="3331" max="3332" width="3" style="365" customWidth="1"/>
    <col min="3333" max="3338" width="3.28515625" style="365" customWidth="1"/>
    <col min="3339" max="3340" width="9.140625" style="365" customWidth="1"/>
    <col min="3341" max="3344" width="3.28515625" style="365" customWidth="1"/>
    <col min="3345" max="3345" width="4.140625" style="365" customWidth="1"/>
    <col min="3346" max="3558" width="10.28515625" style="365"/>
    <col min="3559" max="3567" width="9.140625" style="365" customWidth="1"/>
    <col min="3568" max="3568" width="1" style="365" customWidth="1"/>
    <col min="3569" max="3572" width="3.28515625" style="365" customWidth="1"/>
    <col min="3573" max="3573" width="1.85546875" style="365" customWidth="1"/>
    <col min="3574" max="3574" width="17.85546875" style="365" customWidth="1"/>
    <col min="3575" max="3575" width="1.85546875" style="365" customWidth="1"/>
    <col min="3576" max="3579" width="3.28515625" style="365" customWidth="1"/>
    <col min="3580" max="3580" width="1.85546875" style="365" customWidth="1"/>
    <col min="3581" max="3581" width="12.42578125" style="365" customWidth="1"/>
    <col min="3582" max="3582" width="1.85546875" style="365" customWidth="1"/>
    <col min="3583" max="3585" width="3" style="365" customWidth="1"/>
    <col min="3586" max="3586" width="4.42578125" style="365" customWidth="1"/>
    <col min="3587" max="3588" width="3" style="365" customWidth="1"/>
    <col min="3589" max="3594" width="3.28515625" style="365" customWidth="1"/>
    <col min="3595" max="3596" width="9.140625" style="365" customWidth="1"/>
    <col min="3597" max="3600" width="3.28515625" style="365" customWidth="1"/>
    <col min="3601" max="3601" width="4.140625" style="365" customWidth="1"/>
    <col min="3602" max="3814" width="10.28515625" style="365"/>
    <col min="3815" max="3823" width="9.140625" style="365" customWidth="1"/>
    <col min="3824" max="3824" width="1" style="365" customWidth="1"/>
    <col min="3825" max="3828" width="3.28515625" style="365" customWidth="1"/>
    <col min="3829" max="3829" width="1.85546875" style="365" customWidth="1"/>
    <col min="3830" max="3830" width="17.85546875" style="365" customWidth="1"/>
    <col min="3831" max="3831" width="1.85546875" style="365" customWidth="1"/>
    <col min="3832" max="3835" width="3.28515625" style="365" customWidth="1"/>
    <col min="3836" max="3836" width="1.85546875" style="365" customWidth="1"/>
    <col min="3837" max="3837" width="12.42578125" style="365" customWidth="1"/>
    <col min="3838" max="3838" width="1.85546875" style="365" customWidth="1"/>
    <col min="3839" max="3841" width="3" style="365" customWidth="1"/>
    <col min="3842" max="3842" width="4.42578125" style="365" customWidth="1"/>
    <col min="3843" max="3844" width="3" style="365" customWidth="1"/>
    <col min="3845" max="3850" width="3.28515625" style="365" customWidth="1"/>
    <col min="3851" max="3852" width="9.140625" style="365" customWidth="1"/>
    <col min="3853" max="3856" width="3.28515625" style="365" customWidth="1"/>
    <col min="3857" max="3857" width="4.140625" style="365" customWidth="1"/>
    <col min="3858" max="4070" width="10.28515625" style="365"/>
    <col min="4071" max="4079" width="9.140625" style="365" customWidth="1"/>
    <col min="4080" max="4080" width="1" style="365" customWidth="1"/>
    <col min="4081" max="4084" width="3.28515625" style="365" customWidth="1"/>
    <col min="4085" max="4085" width="1.85546875" style="365" customWidth="1"/>
    <col min="4086" max="4086" width="17.85546875" style="365" customWidth="1"/>
    <col min="4087" max="4087" width="1.85546875" style="365" customWidth="1"/>
    <col min="4088" max="4091" width="3.28515625" style="365" customWidth="1"/>
    <col min="4092" max="4092" width="1.85546875" style="365" customWidth="1"/>
    <col min="4093" max="4093" width="12.42578125" style="365" customWidth="1"/>
    <col min="4094" max="4094" width="1.85546875" style="365" customWidth="1"/>
    <col min="4095" max="4097" width="3" style="365" customWidth="1"/>
    <col min="4098" max="4098" width="4.42578125" style="365" customWidth="1"/>
    <col min="4099" max="4100" width="3" style="365" customWidth="1"/>
    <col min="4101" max="4106" width="3.28515625" style="365" customWidth="1"/>
    <col min="4107" max="4108" width="9.140625" style="365" customWidth="1"/>
    <col min="4109" max="4112" width="3.28515625" style="365" customWidth="1"/>
    <col min="4113" max="4113" width="4.140625" style="365" customWidth="1"/>
    <col min="4114" max="4326" width="10.28515625" style="365"/>
    <col min="4327" max="4335" width="9.140625" style="365" customWidth="1"/>
    <col min="4336" max="4336" width="1" style="365" customWidth="1"/>
    <col min="4337" max="4340" width="3.28515625" style="365" customWidth="1"/>
    <col min="4341" max="4341" width="1.85546875" style="365" customWidth="1"/>
    <col min="4342" max="4342" width="17.85546875" style="365" customWidth="1"/>
    <col min="4343" max="4343" width="1.85546875" style="365" customWidth="1"/>
    <col min="4344" max="4347" width="3.28515625" style="365" customWidth="1"/>
    <col min="4348" max="4348" width="1.85546875" style="365" customWidth="1"/>
    <col min="4349" max="4349" width="12.42578125" style="365" customWidth="1"/>
    <col min="4350" max="4350" width="1.85546875" style="365" customWidth="1"/>
    <col min="4351" max="4353" width="3" style="365" customWidth="1"/>
    <col min="4354" max="4354" width="4.42578125" style="365" customWidth="1"/>
    <col min="4355" max="4356" width="3" style="365" customWidth="1"/>
    <col min="4357" max="4362" width="3.28515625" style="365" customWidth="1"/>
    <col min="4363" max="4364" width="9.140625" style="365" customWidth="1"/>
    <col min="4365" max="4368" width="3.28515625" style="365" customWidth="1"/>
    <col min="4369" max="4369" width="4.140625" style="365" customWidth="1"/>
    <col min="4370" max="4582" width="10.28515625" style="365"/>
    <col min="4583" max="4591" width="9.140625" style="365" customWidth="1"/>
    <col min="4592" max="4592" width="1" style="365" customWidth="1"/>
    <col min="4593" max="4596" width="3.28515625" style="365" customWidth="1"/>
    <col min="4597" max="4597" width="1.85546875" style="365" customWidth="1"/>
    <col min="4598" max="4598" width="17.85546875" style="365" customWidth="1"/>
    <col min="4599" max="4599" width="1.85546875" style="365" customWidth="1"/>
    <col min="4600" max="4603" width="3.28515625" style="365" customWidth="1"/>
    <col min="4604" max="4604" width="1.85546875" style="365" customWidth="1"/>
    <col min="4605" max="4605" width="12.42578125" style="365" customWidth="1"/>
    <col min="4606" max="4606" width="1.85546875" style="365" customWidth="1"/>
    <col min="4607" max="4609" width="3" style="365" customWidth="1"/>
    <col min="4610" max="4610" width="4.42578125" style="365" customWidth="1"/>
    <col min="4611" max="4612" width="3" style="365" customWidth="1"/>
    <col min="4613" max="4618" width="3.28515625" style="365" customWidth="1"/>
    <col min="4619" max="4620" width="9.140625" style="365" customWidth="1"/>
    <col min="4621" max="4624" width="3.28515625" style="365" customWidth="1"/>
    <col min="4625" max="4625" width="4.140625" style="365" customWidth="1"/>
    <col min="4626" max="4838" width="10.28515625" style="365"/>
    <col min="4839" max="4847" width="9.140625" style="365" customWidth="1"/>
    <col min="4848" max="4848" width="1" style="365" customWidth="1"/>
    <col min="4849" max="4852" width="3.28515625" style="365" customWidth="1"/>
    <col min="4853" max="4853" width="1.85546875" style="365" customWidth="1"/>
    <col min="4854" max="4854" width="17.85546875" style="365" customWidth="1"/>
    <col min="4855" max="4855" width="1.85546875" style="365" customWidth="1"/>
    <col min="4856" max="4859" width="3.28515625" style="365" customWidth="1"/>
    <col min="4860" max="4860" width="1.85546875" style="365" customWidth="1"/>
    <col min="4861" max="4861" width="12.42578125" style="365" customWidth="1"/>
    <col min="4862" max="4862" width="1.85546875" style="365" customWidth="1"/>
    <col min="4863" max="4865" width="3" style="365" customWidth="1"/>
    <col min="4866" max="4866" width="4.42578125" style="365" customWidth="1"/>
    <col min="4867" max="4868" width="3" style="365" customWidth="1"/>
    <col min="4869" max="4874" width="3.28515625" style="365" customWidth="1"/>
    <col min="4875" max="4876" width="9.140625" style="365" customWidth="1"/>
    <col min="4877" max="4880" width="3.28515625" style="365" customWidth="1"/>
    <col min="4881" max="4881" width="4.140625" style="365" customWidth="1"/>
    <col min="4882" max="5094" width="10.28515625" style="365"/>
    <col min="5095" max="5103" width="9.140625" style="365" customWidth="1"/>
    <col min="5104" max="5104" width="1" style="365" customWidth="1"/>
    <col min="5105" max="5108" width="3.28515625" style="365" customWidth="1"/>
    <col min="5109" max="5109" width="1.85546875" style="365" customWidth="1"/>
    <col min="5110" max="5110" width="17.85546875" style="365" customWidth="1"/>
    <col min="5111" max="5111" width="1.85546875" style="365" customWidth="1"/>
    <col min="5112" max="5115" width="3.28515625" style="365" customWidth="1"/>
    <col min="5116" max="5116" width="1.85546875" style="365" customWidth="1"/>
    <col min="5117" max="5117" width="12.42578125" style="365" customWidth="1"/>
    <col min="5118" max="5118" width="1.85546875" style="365" customWidth="1"/>
    <col min="5119" max="5121" width="3" style="365" customWidth="1"/>
    <col min="5122" max="5122" width="4.42578125" style="365" customWidth="1"/>
    <col min="5123" max="5124" width="3" style="365" customWidth="1"/>
    <col min="5125" max="5130" width="3.28515625" style="365" customWidth="1"/>
    <col min="5131" max="5132" width="9.140625" style="365" customWidth="1"/>
    <col min="5133" max="5136" width="3.28515625" style="365" customWidth="1"/>
    <col min="5137" max="5137" width="4.140625" style="365" customWidth="1"/>
    <col min="5138" max="5350" width="10.28515625" style="365"/>
    <col min="5351" max="5359" width="9.140625" style="365" customWidth="1"/>
    <col min="5360" max="5360" width="1" style="365" customWidth="1"/>
    <col min="5361" max="5364" width="3.28515625" style="365" customWidth="1"/>
    <col min="5365" max="5365" width="1.85546875" style="365" customWidth="1"/>
    <col min="5366" max="5366" width="17.85546875" style="365" customWidth="1"/>
    <col min="5367" max="5367" width="1.85546875" style="365" customWidth="1"/>
    <col min="5368" max="5371" width="3.28515625" style="365" customWidth="1"/>
    <col min="5372" max="5372" width="1.85546875" style="365" customWidth="1"/>
    <col min="5373" max="5373" width="12.42578125" style="365" customWidth="1"/>
    <col min="5374" max="5374" width="1.85546875" style="365" customWidth="1"/>
    <col min="5375" max="5377" width="3" style="365" customWidth="1"/>
    <col min="5378" max="5378" width="4.42578125" style="365" customWidth="1"/>
    <col min="5379" max="5380" width="3" style="365" customWidth="1"/>
    <col min="5381" max="5386" width="3.28515625" style="365" customWidth="1"/>
    <col min="5387" max="5388" width="9.140625" style="365" customWidth="1"/>
    <col min="5389" max="5392" width="3.28515625" style="365" customWidth="1"/>
    <col min="5393" max="5393" width="4.140625" style="365" customWidth="1"/>
    <col min="5394" max="5606" width="10.28515625" style="365"/>
    <col min="5607" max="5615" width="9.140625" style="365" customWidth="1"/>
    <col min="5616" max="5616" width="1" style="365" customWidth="1"/>
    <col min="5617" max="5620" width="3.28515625" style="365" customWidth="1"/>
    <col min="5621" max="5621" width="1.85546875" style="365" customWidth="1"/>
    <col min="5622" max="5622" width="17.85546875" style="365" customWidth="1"/>
    <col min="5623" max="5623" width="1.85546875" style="365" customWidth="1"/>
    <col min="5624" max="5627" width="3.28515625" style="365" customWidth="1"/>
    <col min="5628" max="5628" width="1.85546875" style="365" customWidth="1"/>
    <col min="5629" max="5629" width="12.42578125" style="365" customWidth="1"/>
    <col min="5630" max="5630" width="1.85546875" style="365" customWidth="1"/>
    <col min="5631" max="5633" width="3" style="365" customWidth="1"/>
    <col min="5634" max="5634" width="4.42578125" style="365" customWidth="1"/>
    <col min="5635" max="5636" width="3" style="365" customWidth="1"/>
    <col min="5637" max="5642" width="3.28515625" style="365" customWidth="1"/>
    <col min="5643" max="5644" width="9.140625" style="365" customWidth="1"/>
    <col min="5645" max="5648" width="3.28515625" style="365" customWidth="1"/>
    <col min="5649" max="5649" width="4.140625" style="365" customWidth="1"/>
    <col min="5650" max="5862" width="10.28515625" style="365"/>
    <col min="5863" max="5871" width="9.140625" style="365" customWidth="1"/>
    <col min="5872" max="5872" width="1" style="365" customWidth="1"/>
    <col min="5873" max="5876" width="3.28515625" style="365" customWidth="1"/>
    <col min="5877" max="5877" width="1.85546875" style="365" customWidth="1"/>
    <col min="5878" max="5878" width="17.85546875" style="365" customWidth="1"/>
    <col min="5879" max="5879" width="1.85546875" style="365" customWidth="1"/>
    <col min="5880" max="5883" width="3.28515625" style="365" customWidth="1"/>
    <col min="5884" max="5884" width="1.85546875" style="365" customWidth="1"/>
    <col min="5885" max="5885" width="12.42578125" style="365" customWidth="1"/>
    <col min="5886" max="5886" width="1.85546875" style="365" customWidth="1"/>
    <col min="5887" max="5889" width="3" style="365" customWidth="1"/>
    <col min="5890" max="5890" width="4.42578125" style="365" customWidth="1"/>
    <col min="5891" max="5892" width="3" style="365" customWidth="1"/>
    <col min="5893" max="5898" width="3.28515625" style="365" customWidth="1"/>
    <col min="5899" max="5900" width="9.140625" style="365" customWidth="1"/>
    <col min="5901" max="5904" width="3.28515625" style="365" customWidth="1"/>
    <col min="5905" max="5905" width="4.140625" style="365" customWidth="1"/>
    <col min="5906" max="6118" width="10.28515625" style="365"/>
    <col min="6119" max="6127" width="9.140625" style="365" customWidth="1"/>
    <col min="6128" max="6128" width="1" style="365" customWidth="1"/>
    <col min="6129" max="6132" width="3.28515625" style="365" customWidth="1"/>
    <col min="6133" max="6133" width="1.85546875" style="365" customWidth="1"/>
    <col min="6134" max="6134" width="17.85546875" style="365" customWidth="1"/>
    <col min="6135" max="6135" width="1.85546875" style="365" customWidth="1"/>
    <col min="6136" max="6139" width="3.28515625" style="365" customWidth="1"/>
    <col min="6140" max="6140" width="1.85546875" style="365" customWidth="1"/>
    <col min="6141" max="6141" width="12.42578125" style="365" customWidth="1"/>
    <col min="6142" max="6142" width="1.85546875" style="365" customWidth="1"/>
    <col min="6143" max="6145" width="3" style="365" customWidth="1"/>
    <col min="6146" max="6146" width="4.42578125" style="365" customWidth="1"/>
    <col min="6147" max="6148" width="3" style="365" customWidth="1"/>
    <col min="6149" max="6154" width="3.28515625" style="365" customWidth="1"/>
    <col min="6155" max="6156" width="9.140625" style="365" customWidth="1"/>
    <col min="6157" max="6160" width="3.28515625" style="365" customWidth="1"/>
    <col min="6161" max="6161" width="4.140625" style="365" customWidth="1"/>
    <col min="6162" max="6374" width="10.28515625" style="365"/>
    <col min="6375" max="6383" width="9.140625" style="365" customWidth="1"/>
    <col min="6384" max="6384" width="1" style="365" customWidth="1"/>
    <col min="6385" max="6388" width="3.28515625" style="365" customWidth="1"/>
    <col min="6389" max="6389" width="1.85546875" style="365" customWidth="1"/>
    <col min="6390" max="6390" width="17.85546875" style="365" customWidth="1"/>
    <col min="6391" max="6391" width="1.85546875" style="365" customWidth="1"/>
    <col min="6392" max="6395" width="3.28515625" style="365" customWidth="1"/>
    <col min="6396" max="6396" width="1.85546875" style="365" customWidth="1"/>
    <col min="6397" max="6397" width="12.42578125" style="365" customWidth="1"/>
    <col min="6398" max="6398" width="1.85546875" style="365" customWidth="1"/>
    <col min="6399" max="6401" width="3" style="365" customWidth="1"/>
    <col min="6402" max="6402" width="4.42578125" style="365" customWidth="1"/>
    <col min="6403" max="6404" width="3" style="365" customWidth="1"/>
    <col min="6405" max="6410" width="3.28515625" style="365" customWidth="1"/>
    <col min="6411" max="6412" width="9.140625" style="365" customWidth="1"/>
    <col min="6413" max="6416" width="3.28515625" style="365" customWidth="1"/>
    <col min="6417" max="6417" width="4.140625" style="365" customWidth="1"/>
    <col min="6418" max="6630" width="10.28515625" style="365"/>
    <col min="6631" max="6639" width="9.140625" style="365" customWidth="1"/>
    <col min="6640" max="6640" width="1" style="365" customWidth="1"/>
    <col min="6641" max="6644" width="3.28515625" style="365" customWidth="1"/>
    <col min="6645" max="6645" width="1.85546875" style="365" customWidth="1"/>
    <col min="6646" max="6646" width="17.85546875" style="365" customWidth="1"/>
    <col min="6647" max="6647" width="1.85546875" style="365" customWidth="1"/>
    <col min="6648" max="6651" width="3.28515625" style="365" customWidth="1"/>
    <col min="6652" max="6652" width="1.85546875" style="365" customWidth="1"/>
    <col min="6653" max="6653" width="12.42578125" style="365" customWidth="1"/>
    <col min="6654" max="6654" width="1.85546875" style="365" customWidth="1"/>
    <col min="6655" max="6657" width="3" style="365" customWidth="1"/>
    <col min="6658" max="6658" width="4.42578125" style="365" customWidth="1"/>
    <col min="6659" max="6660" width="3" style="365" customWidth="1"/>
    <col min="6661" max="6666" width="3.28515625" style="365" customWidth="1"/>
    <col min="6667" max="6668" width="9.140625" style="365" customWidth="1"/>
    <col min="6669" max="6672" width="3.28515625" style="365" customWidth="1"/>
    <col min="6673" max="6673" width="4.140625" style="365" customWidth="1"/>
    <col min="6674" max="6886" width="10.28515625" style="365"/>
    <col min="6887" max="6895" width="9.140625" style="365" customWidth="1"/>
    <col min="6896" max="6896" width="1" style="365" customWidth="1"/>
    <col min="6897" max="6900" width="3.28515625" style="365" customWidth="1"/>
    <col min="6901" max="6901" width="1.85546875" style="365" customWidth="1"/>
    <col min="6902" max="6902" width="17.85546875" style="365" customWidth="1"/>
    <col min="6903" max="6903" width="1.85546875" style="365" customWidth="1"/>
    <col min="6904" max="6907" width="3.28515625" style="365" customWidth="1"/>
    <col min="6908" max="6908" width="1.85546875" style="365" customWidth="1"/>
    <col min="6909" max="6909" width="12.42578125" style="365" customWidth="1"/>
    <col min="6910" max="6910" width="1.85546875" style="365" customWidth="1"/>
    <col min="6911" max="6913" width="3" style="365" customWidth="1"/>
    <col min="6914" max="6914" width="4.42578125" style="365" customWidth="1"/>
    <col min="6915" max="6916" width="3" style="365" customWidth="1"/>
    <col min="6917" max="6922" width="3.28515625" style="365" customWidth="1"/>
    <col min="6923" max="6924" width="9.140625" style="365" customWidth="1"/>
    <col min="6925" max="6928" width="3.28515625" style="365" customWidth="1"/>
    <col min="6929" max="6929" width="4.140625" style="365" customWidth="1"/>
    <col min="6930" max="7142" width="10.28515625" style="365"/>
    <col min="7143" max="7151" width="9.140625" style="365" customWidth="1"/>
    <col min="7152" max="7152" width="1" style="365" customWidth="1"/>
    <col min="7153" max="7156" width="3.28515625" style="365" customWidth="1"/>
    <col min="7157" max="7157" width="1.85546875" style="365" customWidth="1"/>
    <col min="7158" max="7158" width="17.85546875" style="365" customWidth="1"/>
    <col min="7159" max="7159" width="1.85546875" style="365" customWidth="1"/>
    <col min="7160" max="7163" width="3.28515625" style="365" customWidth="1"/>
    <col min="7164" max="7164" width="1.85546875" style="365" customWidth="1"/>
    <col min="7165" max="7165" width="12.42578125" style="365" customWidth="1"/>
    <col min="7166" max="7166" width="1.85546875" style="365" customWidth="1"/>
    <col min="7167" max="7169" width="3" style="365" customWidth="1"/>
    <col min="7170" max="7170" width="4.42578125" style="365" customWidth="1"/>
    <col min="7171" max="7172" width="3" style="365" customWidth="1"/>
    <col min="7173" max="7178" width="3.28515625" style="365" customWidth="1"/>
    <col min="7179" max="7180" width="9.140625" style="365" customWidth="1"/>
    <col min="7181" max="7184" width="3.28515625" style="365" customWidth="1"/>
    <col min="7185" max="7185" width="4.140625" style="365" customWidth="1"/>
    <col min="7186" max="7398" width="10.28515625" style="365"/>
    <col min="7399" max="7407" width="9.140625" style="365" customWidth="1"/>
    <col min="7408" max="7408" width="1" style="365" customWidth="1"/>
    <col min="7409" max="7412" width="3.28515625" style="365" customWidth="1"/>
    <col min="7413" max="7413" width="1.85546875" style="365" customWidth="1"/>
    <col min="7414" max="7414" width="17.85546875" style="365" customWidth="1"/>
    <col min="7415" max="7415" width="1.85546875" style="365" customWidth="1"/>
    <col min="7416" max="7419" width="3.28515625" style="365" customWidth="1"/>
    <col min="7420" max="7420" width="1.85546875" style="365" customWidth="1"/>
    <col min="7421" max="7421" width="12.42578125" style="365" customWidth="1"/>
    <col min="7422" max="7422" width="1.85546875" style="365" customWidth="1"/>
    <col min="7423" max="7425" width="3" style="365" customWidth="1"/>
    <col min="7426" max="7426" width="4.42578125" style="365" customWidth="1"/>
    <col min="7427" max="7428" width="3" style="365" customWidth="1"/>
    <col min="7429" max="7434" width="3.28515625" style="365" customWidth="1"/>
    <col min="7435" max="7436" width="9.140625" style="365" customWidth="1"/>
    <col min="7437" max="7440" width="3.28515625" style="365" customWidth="1"/>
    <col min="7441" max="7441" width="4.140625" style="365" customWidth="1"/>
    <col min="7442" max="7654" width="10.28515625" style="365"/>
    <col min="7655" max="7663" width="9.140625" style="365" customWidth="1"/>
    <col min="7664" max="7664" width="1" style="365" customWidth="1"/>
    <col min="7665" max="7668" width="3.28515625" style="365" customWidth="1"/>
    <col min="7669" max="7669" width="1.85546875" style="365" customWidth="1"/>
    <col min="7670" max="7670" width="17.85546875" style="365" customWidth="1"/>
    <col min="7671" max="7671" width="1.85546875" style="365" customWidth="1"/>
    <col min="7672" max="7675" width="3.28515625" style="365" customWidth="1"/>
    <col min="7676" max="7676" width="1.85546875" style="365" customWidth="1"/>
    <col min="7677" max="7677" width="12.42578125" style="365" customWidth="1"/>
    <col min="7678" max="7678" width="1.85546875" style="365" customWidth="1"/>
    <col min="7679" max="7681" width="3" style="365" customWidth="1"/>
    <col min="7682" max="7682" width="4.42578125" style="365" customWidth="1"/>
    <col min="7683" max="7684" width="3" style="365" customWidth="1"/>
    <col min="7685" max="7690" width="3.28515625" style="365" customWidth="1"/>
    <col min="7691" max="7692" width="9.140625" style="365" customWidth="1"/>
    <col min="7693" max="7696" width="3.28515625" style="365" customWidth="1"/>
    <col min="7697" max="7697" width="4.140625" style="365" customWidth="1"/>
    <col min="7698" max="7910" width="10.28515625" style="365"/>
    <col min="7911" max="7919" width="9.140625" style="365" customWidth="1"/>
    <col min="7920" max="7920" width="1" style="365" customWidth="1"/>
    <col min="7921" max="7924" width="3.28515625" style="365" customWidth="1"/>
    <col min="7925" max="7925" width="1.85546875" style="365" customWidth="1"/>
    <col min="7926" max="7926" width="17.85546875" style="365" customWidth="1"/>
    <col min="7927" max="7927" width="1.85546875" style="365" customWidth="1"/>
    <col min="7928" max="7931" width="3.28515625" style="365" customWidth="1"/>
    <col min="7932" max="7932" width="1.85546875" style="365" customWidth="1"/>
    <col min="7933" max="7933" width="12.42578125" style="365" customWidth="1"/>
    <col min="7934" max="7934" width="1.85546875" style="365" customWidth="1"/>
    <col min="7935" max="7937" width="3" style="365" customWidth="1"/>
    <col min="7938" max="7938" width="4.42578125" style="365" customWidth="1"/>
    <col min="7939" max="7940" width="3" style="365" customWidth="1"/>
    <col min="7941" max="7946" width="3.28515625" style="365" customWidth="1"/>
    <col min="7947" max="7948" width="9.140625" style="365" customWidth="1"/>
    <col min="7949" max="7952" width="3.28515625" style="365" customWidth="1"/>
    <col min="7953" max="7953" width="4.140625" style="365" customWidth="1"/>
    <col min="7954" max="8166" width="10.28515625" style="365"/>
    <col min="8167" max="8175" width="9.140625" style="365" customWidth="1"/>
    <col min="8176" max="8176" width="1" style="365" customWidth="1"/>
    <col min="8177" max="8180" width="3.28515625" style="365" customWidth="1"/>
    <col min="8181" max="8181" width="1.85546875" style="365" customWidth="1"/>
    <col min="8182" max="8182" width="17.85546875" style="365" customWidth="1"/>
    <col min="8183" max="8183" width="1.85546875" style="365" customWidth="1"/>
    <col min="8184" max="8187" width="3.28515625" style="365" customWidth="1"/>
    <col min="8188" max="8188" width="1.85546875" style="365" customWidth="1"/>
    <col min="8189" max="8189" width="12.42578125" style="365" customWidth="1"/>
    <col min="8190" max="8190" width="1.85546875" style="365" customWidth="1"/>
    <col min="8191" max="8193" width="3" style="365" customWidth="1"/>
    <col min="8194" max="8194" width="4.42578125" style="365" customWidth="1"/>
    <col min="8195" max="8196" width="3" style="365" customWidth="1"/>
    <col min="8197" max="8202" width="3.28515625" style="365" customWidth="1"/>
    <col min="8203" max="8204" width="9.140625" style="365" customWidth="1"/>
    <col min="8205" max="8208" width="3.28515625" style="365" customWidth="1"/>
    <col min="8209" max="8209" width="4.140625" style="365" customWidth="1"/>
    <col min="8210" max="8422" width="10.28515625" style="365"/>
    <col min="8423" max="8431" width="9.140625" style="365" customWidth="1"/>
    <col min="8432" max="8432" width="1" style="365" customWidth="1"/>
    <col min="8433" max="8436" width="3.28515625" style="365" customWidth="1"/>
    <col min="8437" max="8437" width="1.85546875" style="365" customWidth="1"/>
    <col min="8438" max="8438" width="17.85546875" style="365" customWidth="1"/>
    <col min="8439" max="8439" width="1.85546875" style="365" customWidth="1"/>
    <col min="8440" max="8443" width="3.28515625" style="365" customWidth="1"/>
    <col min="8444" max="8444" width="1.85546875" style="365" customWidth="1"/>
    <col min="8445" max="8445" width="12.42578125" style="365" customWidth="1"/>
    <col min="8446" max="8446" width="1.85546875" style="365" customWidth="1"/>
    <col min="8447" max="8449" width="3" style="365" customWidth="1"/>
    <col min="8450" max="8450" width="4.42578125" style="365" customWidth="1"/>
    <col min="8451" max="8452" width="3" style="365" customWidth="1"/>
    <col min="8453" max="8458" width="3.28515625" style="365" customWidth="1"/>
    <col min="8459" max="8460" width="9.140625" style="365" customWidth="1"/>
    <col min="8461" max="8464" width="3.28515625" style="365" customWidth="1"/>
    <col min="8465" max="8465" width="4.140625" style="365" customWidth="1"/>
    <col min="8466" max="8678" width="10.28515625" style="365"/>
    <col min="8679" max="8687" width="9.140625" style="365" customWidth="1"/>
    <col min="8688" max="8688" width="1" style="365" customWidth="1"/>
    <col min="8689" max="8692" width="3.28515625" style="365" customWidth="1"/>
    <col min="8693" max="8693" width="1.85546875" style="365" customWidth="1"/>
    <col min="8694" max="8694" width="17.85546875" style="365" customWidth="1"/>
    <col min="8695" max="8695" width="1.85546875" style="365" customWidth="1"/>
    <col min="8696" max="8699" width="3.28515625" style="365" customWidth="1"/>
    <col min="8700" max="8700" width="1.85546875" style="365" customWidth="1"/>
    <col min="8701" max="8701" width="12.42578125" style="365" customWidth="1"/>
    <col min="8702" max="8702" width="1.85546875" style="365" customWidth="1"/>
    <col min="8703" max="8705" width="3" style="365" customWidth="1"/>
    <col min="8706" max="8706" width="4.42578125" style="365" customWidth="1"/>
    <col min="8707" max="8708" width="3" style="365" customWidth="1"/>
    <col min="8709" max="8714" width="3.28515625" style="365" customWidth="1"/>
    <col min="8715" max="8716" width="9.140625" style="365" customWidth="1"/>
    <col min="8717" max="8720" width="3.28515625" style="365" customWidth="1"/>
    <col min="8721" max="8721" width="4.140625" style="365" customWidth="1"/>
    <col min="8722" max="8934" width="10.28515625" style="365"/>
    <col min="8935" max="8943" width="9.140625" style="365" customWidth="1"/>
    <col min="8944" max="8944" width="1" style="365" customWidth="1"/>
    <col min="8945" max="8948" width="3.28515625" style="365" customWidth="1"/>
    <col min="8949" max="8949" width="1.85546875" style="365" customWidth="1"/>
    <col min="8950" max="8950" width="17.85546875" style="365" customWidth="1"/>
    <col min="8951" max="8951" width="1.85546875" style="365" customWidth="1"/>
    <col min="8952" max="8955" width="3.28515625" style="365" customWidth="1"/>
    <col min="8956" max="8956" width="1.85546875" style="365" customWidth="1"/>
    <col min="8957" max="8957" width="12.42578125" style="365" customWidth="1"/>
    <col min="8958" max="8958" width="1.85546875" style="365" customWidth="1"/>
    <col min="8959" max="8961" width="3" style="365" customWidth="1"/>
    <col min="8962" max="8962" width="4.42578125" style="365" customWidth="1"/>
    <col min="8963" max="8964" width="3" style="365" customWidth="1"/>
    <col min="8965" max="8970" width="3.28515625" style="365" customWidth="1"/>
    <col min="8971" max="8972" width="9.140625" style="365" customWidth="1"/>
    <col min="8973" max="8976" width="3.28515625" style="365" customWidth="1"/>
    <col min="8977" max="8977" width="4.140625" style="365" customWidth="1"/>
    <col min="8978" max="9190" width="10.28515625" style="365"/>
    <col min="9191" max="9199" width="9.140625" style="365" customWidth="1"/>
    <col min="9200" max="9200" width="1" style="365" customWidth="1"/>
    <col min="9201" max="9204" width="3.28515625" style="365" customWidth="1"/>
    <col min="9205" max="9205" width="1.85546875" style="365" customWidth="1"/>
    <col min="9206" max="9206" width="17.85546875" style="365" customWidth="1"/>
    <col min="9207" max="9207" width="1.85546875" style="365" customWidth="1"/>
    <col min="9208" max="9211" width="3.28515625" style="365" customWidth="1"/>
    <col min="9212" max="9212" width="1.85546875" style="365" customWidth="1"/>
    <col min="9213" max="9213" width="12.42578125" style="365" customWidth="1"/>
    <col min="9214" max="9214" width="1.85546875" style="365" customWidth="1"/>
    <col min="9215" max="9217" width="3" style="365" customWidth="1"/>
    <col min="9218" max="9218" width="4.42578125" style="365" customWidth="1"/>
    <col min="9219" max="9220" width="3" style="365" customWidth="1"/>
    <col min="9221" max="9226" width="3.28515625" style="365" customWidth="1"/>
    <col min="9227" max="9228" width="9.140625" style="365" customWidth="1"/>
    <col min="9229" max="9232" width="3.28515625" style="365" customWidth="1"/>
    <col min="9233" max="9233" width="4.140625" style="365" customWidth="1"/>
    <col min="9234" max="9446" width="10.28515625" style="365"/>
    <col min="9447" max="9455" width="9.140625" style="365" customWidth="1"/>
    <col min="9456" max="9456" width="1" style="365" customWidth="1"/>
    <col min="9457" max="9460" width="3.28515625" style="365" customWidth="1"/>
    <col min="9461" max="9461" width="1.85546875" style="365" customWidth="1"/>
    <col min="9462" max="9462" width="17.85546875" style="365" customWidth="1"/>
    <col min="9463" max="9463" width="1.85546875" style="365" customWidth="1"/>
    <col min="9464" max="9467" width="3.28515625" style="365" customWidth="1"/>
    <col min="9468" max="9468" width="1.85546875" style="365" customWidth="1"/>
    <col min="9469" max="9469" width="12.42578125" style="365" customWidth="1"/>
    <col min="9470" max="9470" width="1.85546875" style="365" customWidth="1"/>
    <col min="9471" max="9473" width="3" style="365" customWidth="1"/>
    <col min="9474" max="9474" width="4.42578125" style="365" customWidth="1"/>
    <col min="9475" max="9476" width="3" style="365" customWidth="1"/>
    <col min="9477" max="9482" width="3.28515625" style="365" customWidth="1"/>
    <col min="9483" max="9484" width="9.140625" style="365" customWidth="1"/>
    <col min="9485" max="9488" width="3.28515625" style="365" customWidth="1"/>
    <col min="9489" max="9489" width="4.140625" style="365" customWidth="1"/>
    <col min="9490" max="9702" width="10.28515625" style="365"/>
    <col min="9703" max="9711" width="9.140625" style="365" customWidth="1"/>
    <col min="9712" max="9712" width="1" style="365" customWidth="1"/>
    <col min="9713" max="9716" width="3.28515625" style="365" customWidth="1"/>
    <col min="9717" max="9717" width="1.85546875" style="365" customWidth="1"/>
    <col min="9718" max="9718" width="17.85546875" style="365" customWidth="1"/>
    <col min="9719" max="9719" width="1.85546875" style="365" customWidth="1"/>
    <col min="9720" max="9723" width="3.28515625" style="365" customWidth="1"/>
    <col min="9724" max="9724" width="1.85546875" style="365" customWidth="1"/>
    <col min="9725" max="9725" width="12.42578125" style="365" customWidth="1"/>
    <col min="9726" max="9726" width="1.85546875" style="365" customWidth="1"/>
    <col min="9727" max="9729" width="3" style="365" customWidth="1"/>
    <col min="9730" max="9730" width="4.42578125" style="365" customWidth="1"/>
    <col min="9731" max="9732" width="3" style="365" customWidth="1"/>
    <col min="9733" max="9738" width="3.28515625" style="365" customWidth="1"/>
    <col min="9739" max="9740" width="9.140625" style="365" customWidth="1"/>
    <col min="9741" max="9744" width="3.28515625" style="365" customWidth="1"/>
    <col min="9745" max="9745" width="4.140625" style="365" customWidth="1"/>
    <col min="9746" max="9958" width="10.28515625" style="365"/>
    <col min="9959" max="9967" width="9.140625" style="365" customWidth="1"/>
    <col min="9968" max="9968" width="1" style="365" customWidth="1"/>
    <col min="9969" max="9972" width="3.28515625" style="365" customWidth="1"/>
    <col min="9973" max="9973" width="1.85546875" style="365" customWidth="1"/>
    <col min="9974" max="9974" width="17.85546875" style="365" customWidth="1"/>
    <col min="9975" max="9975" width="1.85546875" style="365" customWidth="1"/>
    <col min="9976" max="9979" width="3.28515625" style="365" customWidth="1"/>
    <col min="9980" max="9980" width="1.85546875" style="365" customWidth="1"/>
    <col min="9981" max="9981" width="12.42578125" style="365" customWidth="1"/>
    <col min="9982" max="9982" width="1.85546875" style="365" customWidth="1"/>
    <col min="9983" max="9985" width="3" style="365" customWidth="1"/>
    <col min="9986" max="9986" width="4.42578125" style="365" customWidth="1"/>
    <col min="9987" max="9988" width="3" style="365" customWidth="1"/>
    <col min="9989" max="9994" width="3.28515625" style="365" customWidth="1"/>
    <col min="9995" max="9996" width="9.140625" style="365" customWidth="1"/>
    <col min="9997" max="10000" width="3.28515625" style="365" customWidth="1"/>
    <col min="10001" max="10001" width="4.140625" style="365" customWidth="1"/>
    <col min="10002" max="10214" width="10.28515625" style="365"/>
    <col min="10215" max="10223" width="9.140625" style="365" customWidth="1"/>
    <col min="10224" max="10224" width="1" style="365" customWidth="1"/>
    <col min="10225" max="10228" width="3.28515625" style="365" customWidth="1"/>
    <col min="10229" max="10229" width="1.85546875" style="365" customWidth="1"/>
    <col min="10230" max="10230" width="17.85546875" style="365" customWidth="1"/>
    <col min="10231" max="10231" width="1.85546875" style="365" customWidth="1"/>
    <col min="10232" max="10235" width="3.28515625" style="365" customWidth="1"/>
    <col min="10236" max="10236" width="1.85546875" style="365" customWidth="1"/>
    <col min="10237" max="10237" width="12.42578125" style="365" customWidth="1"/>
    <col min="10238" max="10238" width="1.85546875" style="365" customWidth="1"/>
    <col min="10239" max="10241" width="3" style="365" customWidth="1"/>
    <col min="10242" max="10242" width="4.42578125" style="365" customWidth="1"/>
    <col min="10243" max="10244" width="3" style="365" customWidth="1"/>
    <col min="10245" max="10250" width="3.28515625" style="365" customWidth="1"/>
    <col min="10251" max="10252" width="9.140625" style="365" customWidth="1"/>
    <col min="10253" max="10256" width="3.28515625" style="365" customWidth="1"/>
    <col min="10257" max="10257" width="4.140625" style="365" customWidth="1"/>
    <col min="10258" max="10470" width="10.28515625" style="365"/>
    <col min="10471" max="10479" width="9.140625" style="365" customWidth="1"/>
    <col min="10480" max="10480" width="1" style="365" customWidth="1"/>
    <col min="10481" max="10484" width="3.28515625" style="365" customWidth="1"/>
    <col min="10485" max="10485" width="1.85546875" style="365" customWidth="1"/>
    <col min="10486" max="10486" width="17.85546875" style="365" customWidth="1"/>
    <col min="10487" max="10487" width="1.85546875" style="365" customWidth="1"/>
    <col min="10488" max="10491" width="3.28515625" style="365" customWidth="1"/>
    <col min="10492" max="10492" width="1.85546875" style="365" customWidth="1"/>
    <col min="10493" max="10493" width="12.42578125" style="365" customWidth="1"/>
    <col min="10494" max="10494" width="1.85546875" style="365" customWidth="1"/>
    <col min="10495" max="10497" width="3" style="365" customWidth="1"/>
    <col min="10498" max="10498" width="4.42578125" style="365" customWidth="1"/>
    <col min="10499" max="10500" width="3" style="365" customWidth="1"/>
    <col min="10501" max="10506" width="3.28515625" style="365" customWidth="1"/>
    <col min="10507" max="10508" width="9.140625" style="365" customWidth="1"/>
    <col min="10509" max="10512" width="3.28515625" style="365" customWidth="1"/>
    <col min="10513" max="10513" width="4.140625" style="365" customWidth="1"/>
    <col min="10514" max="10726" width="10.28515625" style="365"/>
    <col min="10727" max="10735" width="9.140625" style="365" customWidth="1"/>
    <col min="10736" max="10736" width="1" style="365" customWidth="1"/>
    <col min="10737" max="10740" width="3.28515625" style="365" customWidth="1"/>
    <col min="10741" max="10741" width="1.85546875" style="365" customWidth="1"/>
    <col min="10742" max="10742" width="17.85546875" style="365" customWidth="1"/>
    <col min="10743" max="10743" width="1.85546875" style="365" customWidth="1"/>
    <col min="10744" max="10747" width="3.28515625" style="365" customWidth="1"/>
    <col min="10748" max="10748" width="1.85546875" style="365" customWidth="1"/>
    <col min="10749" max="10749" width="12.42578125" style="365" customWidth="1"/>
    <col min="10750" max="10750" width="1.85546875" style="365" customWidth="1"/>
    <col min="10751" max="10753" width="3" style="365" customWidth="1"/>
    <col min="10754" max="10754" width="4.42578125" style="365" customWidth="1"/>
    <col min="10755" max="10756" width="3" style="365" customWidth="1"/>
    <col min="10757" max="10762" width="3.28515625" style="365" customWidth="1"/>
    <col min="10763" max="10764" width="9.140625" style="365" customWidth="1"/>
    <col min="10765" max="10768" width="3.28515625" style="365" customWidth="1"/>
    <col min="10769" max="10769" width="4.140625" style="365" customWidth="1"/>
    <col min="10770" max="10982" width="10.28515625" style="365"/>
    <col min="10983" max="10991" width="9.140625" style="365" customWidth="1"/>
    <col min="10992" max="10992" width="1" style="365" customWidth="1"/>
    <col min="10993" max="10996" width="3.28515625" style="365" customWidth="1"/>
    <col min="10997" max="10997" width="1.85546875" style="365" customWidth="1"/>
    <col min="10998" max="10998" width="17.85546875" style="365" customWidth="1"/>
    <col min="10999" max="10999" width="1.85546875" style="365" customWidth="1"/>
    <col min="11000" max="11003" width="3.28515625" style="365" customWidth="1"/>
    <col min="11004" max="11004" width="1.85546875" style="365" customWidth="1"/>
    <col min="11005" max="11005" width="12.42578125" style="365" customWidth="1"/>
    <col min="11006" max="11006" width="1.85546875" style="365" customWidth="1"/>
    <col min="11007" max="11009" width="3" style="365" customWidth="1"/>
    <col min="11010" max="11010" width="4.42578125" style="365" customWidth="1"/>
    <col min="11011" max="11012" width="3" style="365" customWidth="1"/>
    <col min="11013" max="11018" width="3.28515625" style="365" customWidth="1"/>
    <col min="11019" max="11020" width="9.140625" style="365" customWidth="1"/>
    <col min="11021" max="11024" width="3.28515625" style="365" customWidth="1"/>
    <col min="11025" max="11025" width="4.140625" style="365" customWidth="1"/>
    <col min="11026" max="11238" width="10.28515625" style="365"/>
    <col min="11239" max="11247" width="9.140625" style="365" customWidth="1"/>
    <col min="11248" max="11248" width="1" style="365" customWidth="1"/>
    <col min="11249" max="11252" width="3.28515625" style="365" customWidth="1"/>
    <col min="11253" max="11253" width="1.85546875" style="365" customWidth="1"/>
    <col min="11254" max="11254" width="17.85546875" style="365" customWidth="1"/>
    <col min="11255" max="11255" width="1.85546875" style="365" customWidth="1"/>
    <col min="11256" max="11259" width="3.28515625" style="365" customWidth="1"/>
    <col min="11260" max="11260" width="1.85546875" style="365" customWidth="1"/>
    <col min="11261" max="11261" width="12.42578125" style="365" customWidth="1"/>
    <col min="11262" max="11262" width="1.85546875" style="365" customWidth="1"/>
    <col min="11263" max="11265" width="3" style="365" customWidth="1"/>
    <col min="11266" max="11266" width="4.42578125" style="365" customWidth="1"/>
    <col min="11267" max="11268" width="3" style="365" customWidth="1"/>
    <col min="11269" max="11274" width="3.28515625" style="365" customWidth="1"/>
    <col min="11275" max="11276" width="9.140625" style="365" customWidth="1"/>
    <col min="11277" max="11280" width="3.28515625" style="365" customWidth="1"/>
    <col min="11281" max="11281" width="4.140625" style="365" customWidth="1"/>
    <col min="11282" max="11494" width="10.28515625" style="365"/>
    <col min="11495" max="11503" width="9.140625" style="365" customWidth="1"/>
    <col min="11504" max="11504" width="1" style="365" customWidth="1"/>
    <col min="11505" max="11508" width="3.28515625" style="365" customWidth="1"/>
    <col min="11509" max="11509" width="1.85546875" style="365" customWidth="1"/>
    <col min="11510" max="11510" width="17.85546875" style="365" customWidth="1"/>
    <col min="11511" max="11511" width="1.85546875" style="365" customWidth="1"/>
    <col min="11512" max="11515" width="3.28515625" style="365" customWidth="1"/>
    <col min="11516" max="11516" width="1.85546875" style="365" customWidth="1"/>
    <col min="11517" max="11517" width="12.42578125" style="365" customWidth="1"/>
    <col min="11518" max="11518" width="1.85546875" style="365" customWidth="1"/>
    <col min="11519" max="11521" width="3" style="365" customWidth="1"/>
    <col min="11522" max="11522" width="4.42578125" style="365" customWidth="1"/>
    <col min="11523" max="11524" width="3" style="365" customWidth="1"/>
    <col min="11525" max="11530" width="3.28515625" style="365" customWidth="1"/>
    <col min="11531" max="11532" width="9.140625" style="365" customWidth="1"/>
    <col min="11533" max="11536" width="3.28515625" style="365" customWidth="1"/>
    <col min="11537" max="11537" width="4.140625" style="365" customWidth="1"/>
    <col min="11538" max="11750" width="10.28515625" style="365"/>
    <col min="11751" max="11759" width="9.140625" style="365" customWidth="1"/>
    <col min="11760" max="11760" width="1" style="365" customWidth="1"/>
    <col min="11761" max="11764" width="3.28515625" style="365" customWidth="1"/>
    <col min="11765" max="11765" width="1.85546875" style="365" customWidth="1"/>
    <col min="11766" max="11766" width="17.85546875" style="365" customWidth="1"/>
    <col min="11767" max="11767" width="1.85546875" style="365" customWidth="1"/>
    <col min="11768" max="11771" width="3.28515625" style="365" customWidth="1"/>
    <col min="11772" max="11772" width="1.85546875" style="365" customWidth="1"/>
    <col min="11773" max="11773" width="12.42578125" style="365" customWidth="1"/>
    <col min="11774" max="11774" width="1.85546875" style="365" customWidth="1"/>
    <col min="11775" max="11777" width="3" style="365" customWidth="1"/>
    <col min="11778" max="11778" width="4.42578125" style="365" customWidth="1"/>
    <col min="11779" max="11780" width="3" style="365" customWidth="1"/>
    <col min="11781" max="11786" width="3.28515625" style="365" customWidth="1"/>
    <col min="11787" max="11788" width="9.140625" style="365" customWidth="1"/>
    <col min="11789" max="11792" width="3.28515625" style="365" customWidth="1"/>
    <col min="11793" max="11793" width="4.140625" style="365" customWidth="1"/>
    <col min="11794" max="12006" width="10.28515625" style="365"/>
    <col min="12007" max="12015" width="9.140625" style="365" customWidth="1"/>
    <col min="12016" max="12016" width="1" style="365" customWidth="1"/>
    <col min="12017" max="12020" width="3.28515625" style="365" customWidth="1"/>
    <col min="12021" max="12021" width="1.85546875" style="365" customWidth="1"/>
    <col min="12022" max="12022" width="17.85546875" style="365" customWidth="1"/>
    <col min="12023" max="12023" width="1.85546875" style="365" customWidth="1"/>
    <col min="12024" max="12027" width="3.28515625" style="365" customWidth="1"/>
    <col min="12028" max="12028" width="1.85546875" style="365" customWidth="1"/>
    <col min="12029" max="12029" width="12.42578125" style="365" customWidth="1"/>
    <col min="12030" max="12030" width="1.85546875" style="365" customWidth="1"/>
    <col min="12031" max="12033" width="3" style="365" customWidth="1"/>
    <col min="12034" max="12034" width="4.42578125" style="365" customWidth="1"/>
    <col min="12035" max="12036" width="3" style="365" customWidth="1"/>
    <col min="12037" max="12042" width="3.28515625" style="365" customWidth="1"/>
    <col min="12043" max="12044" width="9.140625" style="365" customWidth="1"/>
    <col min="12045" max="12048" width="3.28515625" style="365" customWidth="1"/>
    <col min="12049" max="12049" width="4.140625" style="365" customWidth="1"/>
    <col min="12050" max="12262" width="10.28515625" style="365"/>
    <col min="12263" max="12271" width="9.140625" style="365" customWidth="1"/>
    <col min="12272" max="12272" width="1" style="365" customWidth="1"/>
    <col min="12273" max="12276" width="3.28515625" style="365" customWidth="1"/>
    <col min="12277" max="12277" width="1.85546875" style="365" customWidth="1"/>
    <col min="12278" max="12278" width="17.85546875" style="365" customWidth="1"/>
    <col min="12279" max="12279" width="1.85546875" style="365" customWidth="1"/>
    <col min="12280" max="12283" width="3.28515625" style="365" customWidth="1"/>
    <col min="12284" max="12284" width="1.85546875" style="365" customWidth="1"/>
    <col min="12285" max="12285" width="12.42578125" style="365" customWidth="1"/>
    <col min="12286" max="12286" width="1.85546875" style="365" customWidth="1"/>
    <col min="12287" max="12289" width="3" style="365" customWidth="1"/>
    <col min="12290" max="12290" width="4.42578125" style="365" customWidth="1"/>
    <col min="12291" max="12292" width="3" style="365" customWidth="1"/>
    <col min="12293" max="12298" width="3.28515625" style="365" customWidth="1"/>
    <col min="12299" max="12300" width="9.140625" style="365" customWidth="1"/>
    <col min="12301" max="12304" width="3.28515625" style="365" customWidth="1"/>
    <col min="12305" max="12305" width="4.140625" style="365" customWidth="1"/>
    <col min="12306" max="12518" width="10.28515625" style="365"/>
    <col min="12519" max="12527" width="9.140625" style="365" customWidth="1"/>
    <col min="12528" max="12528" width="1" style="365" customWidth="1"/>
    <col min="12529" max="12532" width="3.28515625" style="365" customWidth="1"/>
    <col min="12533" max="12533" width="1.85546875" style="365" customWidth="1"/>
    <col min="12534" max="12534" width="17.85546875" style="365" customWidth="1"/>
    <col min="12535" max="12535" width="1.85546875" style="365" customWidth="1"/>
    <col min="12536" max="12539" width="3.28515625" style="365" customWidth="1"/>
    <col min="12540" max="12540" width="1.85546875" style="365" customWidth="1"/>
    <col min="12541" max="12541" width="12.42578125" style="365" customWidth="1"/>
    <col min="12542" max="12542" width="1.85546875" style="365" customWidth="1"/>
    <col min="12543" max="12545" width="3" style="365" customWidth="1"/>
    <col min="12546" max="12546" width="4.42578125" style="365" customWidth="1"/>
    <col min="12547" max="12548" width="3" style="365" customWidth="1"/>
    <col min="12549" max="12554" width="3.28515625" style="365" customWidth="1"/>
    <col min="12555" max="12556" width="9.140625" style="365" customWidth="1"/>
    <col min="12557" max="12560" width="3.28515625" style="365" customWidth="1"/>
    <col min="12561" max="12561" width="4.140625" style="365" customWidth="1"/>
    <col min="12562" max="12774" width="10.28515625" style="365"/>
    <col min="12775" max="12783" width="9.140625" style="365" customWidth="1"/>
    <col min="12784" max="12784" width="1" style="365" customWidth="1"/>
    <col min="12785" max="12788" width="3.28515625" style="365" customWidth="1"/>
    <col min="12789" max="12789" width="1.85546875" style="365" customWidth="1"/>
    <col min="12790" max="12790" width="17.85546875" style="365" customWidth="1"/>
    <col min="12791" max="12791" width="1.85546875" style="365" customWidth="1"/>
    <col min="12792" max="12795" width="3.28515625" style="365" customWidth="1"/>
    <col min="12796" max="12796" width="1.85546875" style="365" customWidth="1"/>
    <col min="12797" max="12797" width="12.42578125" style="365" customWidth="1"/>
    <col min="12798" max="12798" width="1.85546875" style="365" customWidth="1"/>
    <col min="12799" max="12801" width="3" style="365" customWidth="1"/>
    <col min="12802" max="12802" width="4.42578125" style="365" customWidth="1"/>
    <col min="12803" max="12804" width="3" style="365" customWidth="1"/>
    <col min="12805" max="12810" width="3.28515625" style="365" customWidth="1"/>
    <col min="12811" max="12812" width="9.140625" style="365" customWidth="1"/>
    <col min="12813" max="12816" width="3.28515625" style="365" customWidth="1"/>
    <col min="12817" max="12817" width="4.140625" style="365" customWidth="1"/>
    <col min="12818" max="13030" width="10.28515625" style="365"/>
    <col min="13031" max="13039" width="9.140625" style="365" customWidth="1"/>
    <col min="13040" max="13040" width="1" style="365" customWidth="1"/>
    <col min="13041" max="13044" width="3.28515625" style="365" customWidth="1"/>
    <col min="13045" max="13045" width="1.85546875" style="365" customWidth="1"/>
    <col min="13046" max="13046" width="17.85546875" style="365" customWidth="1"/>
    <col min="13047" max="13047" width="1.85546875" style="365" customWidth="1"/>
    <col min="13048" max="13051" width="3.28515625" style="365" customWidth="1"/>
    <col min="13052" max="13052" width="1.85546875" style="365" customWidth="1"/>
    <col min="13053" max="13053" width="12.42578125" style="365" customWidth="1"/>
    <col min="13054" max="13054" width="1.85546875" style="365" customWidth="1"/>
    <col min="13055" max="13057" width="3" style="365" customWidth="1"/>
    <col min="13058" max="13058" width="4.42578125" style="365" customWidth="1"/>
    <col min="13059" max="13060" width="3" style="365" customWidth="1"/>
    <col min="13061" max="13066" width="3.28515625" style="365" customWidth="1"/>
    <col min="13067" max="13068" width="9.140625" style="365" customWidth="1"/>
    <col min="13069" max="13072" width="3.28515625" style="365" customWidth="1"/>
    <col min="13073" max="13073" width="4.140625" style="365" customWidth="1"/>
    <col min="13074" max="13286" width="10.28515625" style="365"/>
    <col min="13287" max="13295" width="9.140625" style="365" customWidth="1"/>
    <col min="13296" max="13296" width="1" style="365" customWidth="1"/>
    <col min="13297" max="13300" width="3.28515625" style="365" customWidth="1"/>
    <col min="13301" max="13301" width="1.85546875" style="365" customWidth="1"/>
    <col min="13302" max="13302" width="17.85546875" style="365" customWidth="1"/>
    <col min="13303" max="13303" width="1.85546875" style="365" customWidth="1"/>
    <col min="13304" max="13307" width="3.28515625" style="365" customWidth="1"/>
    <col min="13308" max="13308" width="1.85546875" style="365" customWidth="1"/>
    <col min="13309" max="13309" width="12.42578125" style="365" customWidth="1"/>
    <col min="13310" max="13310" width="1.85546875" style="365" customWidth="1"/>
    <col min="13311" max="13313" width="3" style="365" customWidth="1"/>
    <col min="13314" max="13314" width="4.42578125" style="365" customWidth="1"/>
    <col min="13315" max="13316" width="3" style="365" customWidth="1"/>
    <col min="13317" max="13322" width="3.28515625" style="365" customWidth="1"/>
    <col min="13323" max="13324" width="9.140625" style="365" customWidth="1"/>
    <col min="13325" max="13328" width="3.28515625" style="365" customWidth="1"/>
    <col min="13329" max="13329" width="4.140625" style="365" customWidth="1"/>
    <col min="13330" max="13542" width="10.28515625" style="365"/>
    <col min="13543" max="13551" width="9.140625" style="365" customWidth="1"/>
    <col min="13552" max="13552" width="1" style="365" customWidth="1"/>
    <col min="13553" max="13556" width="3.28515625" style="365" customWidth="1"/>
    <col min="13557" max="13557" width="1.85546875" style="365" customWidth="1"/>
    <col min="13558" max="13558" width="17.85546875" style="365" customWidth="1"/>
    <col min="13559" max="13559" width="1.85546875" style="365" customWidth="1"/>
    <col min="13560" max="13563" width="3.28515625" style="365" customWidth="1"/>
    <col min="13564" max="13564" width="1.85546875" style="365" customWidth="1"/>
    <col min="13565" max="13565" width="12.42578125" style="365" customWidth="1"/>
    <col min="13566" max="13566" width="1.85546875" style="365" customWidth="1"/>
    <col min="13567" max="13569" width="3" style="365" customWidth="1"/>
    <col min="13570" max="13570" width="4.42578125" style="365" customWidth="1"/>
    <col min="13571" max="13572" width="3" style="365" customWidth="1"/>
    <col min="13573" max="13578" width="3.28515625" style="365" customWidth="1"/>
    <col min="13579" max="13580" width="9.140625" style="365" customWidth="1"/>
    <col min="13581" max="13584" width="3.28515625" style="365" customWidth="1"/>
    <col min="13585" max="13585" width="4.140625" style="365" customWidth="1"/>
    <col min="13586" max="13798" width="10.28515625" style="365"/>
    <col min="13799" max="13807" width="9.140625" style="365" customWidth="1"/>
    <col min="13808" max="13808" width="1" style="365" customWidth="1"/>
    <col min="13809" max="13812" width="3.28515625" style="365" customWidth="1"/>
    <col min="13813" max="13813" width="1.85546875" style="365" customWidth="1"/>
    <col min="13814" max="13814" width="17.85546875" style="365" customWidth="1"/>
    <col min="13815" max="13815" width="1.85546875" style="365" customWidth="1"/>
    <col min="13816" max="13819" width="3.28515625" style="365" customWidth="1"/>
    <col min="13820" max="13820" width="1.85546875" style="365" customWidth="1"/>
    <col min="13821" max="13821" width="12.42578125" style="365" customWidth="1"/>
    <col min="13822" max="13822" width="1.85546875" style="365" customWidth="1"/>
    <col min="13823" max="13825" width="3" style="365" customWidth="1"/>
    <col min="13826" max="13826" width="4.42578125" style="365" customWidth="1"/>
    <col min="13827" max="13828" width="3" style="365" customWidth="1"/>
    <col min="13829" max="13834" width="3.28515625" style="365" customWidth="1"/>
    <col min="13835" max="13836" width="9.140625" style="365" customWidth="1"/>
    <col min="13837" max="13840" width="3.28515625" style="365" customWidth="1"/>
    <col min="13841" max="13841" width="4.140625" style="365" customWidth="1"/>
    <col min="13842" max="14054" width="10.28515625" style="365"/>
    <col min="14055" max="14063" width="9.140625" style="365" customWidth="1"/>
    <col min="14064" max="14064" width="1" style="365" customWidth="1"/>
    <col min="14065" max="14068" width="3.28515625" style="365" customWidth="1"/>
    <col min="14069" max="14069" width="1.85546875" style="365" customWidth="1"/>
    <col min="14070" max="14070" width="17.85546875" style="365" customWidth="1"/>
    <col min="14071" max="14071" width="1.85546875" style="365" customWidth="1"/>
    <col min="14072" max="14075" width="3.28515625" style="365" customWidth="1"/>
    <col min="14076" max="14076" width="1.85546875" style="365" customWidth="1"/>
    <col min="14077" max="14077" width="12.42578125" style="365" customWidth="1"/>
    <col min="14078" max="14078" width="1.85546875" style="365" customWidth="1"/>
    <col min="14079" max="14081" width="3" style="365" customWidth="1"/>
    <col min="14082" max="14082" width="4.42578125" style="365" customWidth="1"/>
    <col min="14083" max="14084" width="3" style="365" customWidth="1"/>
    <col min="14085" max="14090" width="3.28515625" style="365" customWidth="1"/>
    <col min="14091" max="14092" width="9.140625" style="365" customWidth="1"/>
    <col min="14093" max="14096" width="3.28515625" style="365" customWidth="1"/>
    <col min="14097" max="14097" width="4.140625" style="365" customWidth="1"/>
    <col min="14098" max="14310" width="10.28515625" style="365"/>
    <col min="14311" max="14319" width="9.140625" style="365" customWidth="1"/>
    <col min="14320" max="14320" width="1" style="365" customWidth="1"/>
    <col min="14321" max="14324" width="3.28515625" style="365" customWidth="1"/>
    <col min="14325" max="14325" width="1.85546875" style="365" customWidth="1"/>
    <col min="14326" max="14326" width="17.85546875" style="365" customWidth="1"/>
    <col min="14327" max="14327" width="1.85546875" style="365" customWidth="1"/>
    <col min="14328" max="14331" width="3.28515625" style="365" customWidth="1"/>
    <col min="14332" max="14332" width="1.85546875" style="365" customWidth="1"/>
    <col min="14333" max="14333" width="12.42578125" style="365" customWidth="1"/>
    <col min="14334" max="14334" width="1.85546875" style="365" customWidth="1"/>
    <col min="14335" max="14337" width="3" style="365" customWidth="1"/>
    <col min="14338" max="14338" width="4.42578125" style="365" customWidth="1"/>
    <col min="14339" max="14340" width="3" style="365" customWidth="1"/>
    <col min="14341" max="14346" width="3.28515625" style="365" customWidth="1"/>
    <col min="14347" max="14348" width="9.140625" style="365" customWidth="1"/>
    <col min="14349" max="14352" width="3.28515625" style="365" customWidth="1"/>
    <col min="14353" max="14353" width="4.140625" style="365" customWidth="1"/>
    <col min="14354" max="14566" width="10.28515625" style="365"/>
    <col min="14567" max="14575" width="9.140625" style="365" customWidth="1"/>
    <col min="14576" max="14576" width="1" style="365" customWidth="1"/>
    <col min="14577" max="14580" width="3.28515625" style="365" customWidth="1"/>
    <col min="14581" max="14581" width="1.85546875" style="365" customWidth="1"/>
    <col min="14582" max="14582" width="17.85546875" style="365" customWidth="1"/>
    <col min="14583" max="14583" width="1.85546875" style="365" customWidth="1"/>
    <col min="14584" max="14587" width="3.28515625" style="365" customWidth="1"/>
    <col min="14588" max="14588" width="1.85546875" style="365" customWidth="1"/>
    <col min="14589" max="14589" width="12.42578125" style="365" customWidth="1"/>
    <col min="14590" max="14590" width="1.85546875" style="365" customWidth="1"/>
    <col min="14591" max="14593" width="3" style="365" customWidth="1"/>
    <col min="14594" max="14594" width="4.42578125" style="365" customWidth="1"/>
    <col min="14595" max="14596" width="3" style="365" customWidth="1"/>
    <col min="14597" max="14602" width="3.28515625" style="365" customWidth="1"/>
    <col min="14603" max="14604" width="9.140625" style="365" customWidth="1"/>
    <col min="14605" max="14608" width="3.28515625" style="365" customWidth="1"/>
    <col min="14609" max="14609" width="4.140625" style="365" customWidth="1"/>
    <col min="14610" max="14822" width="10.28515625" style="365"/>
    <col min="14823" max="14831" width="9.140625" style="365" customWidth="1"/>
    <col min="14832" max="14832" width="1" style="365" customWidth="1"/>
    <col min="14833" max="14836" width="3.28515625" style="365" customWidth="1"/>
    <col min="14837" max="14837" width="1.85546875" style="365" customWidth="1"/>
    <col min="14838" max="14838" width="17.85546875" style="365" customWidth="1"/>
    <col min="14839" max="14839" width="1.85546875" style="365" customWidth="1"/>
    <col min="14840" max="14843" width="3.28515625" style="365" customWidth="1"/>
    <col min="14844" max="14844" width="1.85546875" style="365" customWidth="1"/>
    <col min="14845" max="14845" width="12.42578125" style="365" customWidth="1"/>
    <col min="14846" max="14846" width="1.85546875" style="365" customWidth="1"/>
    <col min="14847" max="14849" width="3" style="365" customWidth="1"/>
    <col min="14850" max="14850" width="4.42578125" style="365" customWidth="1"/>
    <col min="14851" max="14852" width="3" style="365" customWidth="1"/>
    <col min="14853" max="14858" width="3.28515625" style="365" customWidth="1"/>
    <col min="14859" max="14860" width="9.140625" style="365" customWidth="1"/>
    <col min="14861" max="14864" width="3.28515625" style="365" customWidth="1"/>
    <col min="14865" max="14865" width="4.140625" style="365" customWidth="1"/>
    <col min="14866" max="15078" width="10.28515625" style="365"/>
    <col min="15079" max="15087" width="9.140625" style="365" customWidth="1"/>
    <col min="15088" max="15088" width="1" style="365" customWidth="1"/>
    <col min="15089" max="15092" width="3.28515625" style="365" customWidth="1"/>
    <col min="15093" max="15093" width="1.85546875" style="365" customWidth="1"/>
    <col min="15094" max="15094" width="17.85546875" style="365" customWidth="1"/>
    <col min="15095" max="15095" width="1.85546875" style="365" customWidth="1"/>
    <col min="15096" max="15099" width="3.28515625" style="365" customWidth="1"/>
    <col min="15100" max="15100" width="1.85546875" style="365" customWidth="1"/>
    <col min="15101" max="15101" width="12.42578125" style="365" customWidth="1"/>
    <col min="15102" max="15102" width="1.85546875" style="365" customWidth="1"/>
    <col min="15103" max="15105" width="3" style="365" customWidth="1"/>
    <col min="15106" max="15106" width="4.42578125" style="365" customWidth="1"/>
    <col min="15107" max="15108" width="3" style="365" customWidth="1"/>
    <col min="15109" max="15114" width="3.28515625" style="365" customWidth="1"/>
    <col min="15115" max="15116" width="9.140625" style="365" customWidth="1"/>
    <col min="15117" max="15120" width="3.28515625" style="365" customWidth="1"/>
    <col min="15121" max="15121" width="4.140625" style="365" customWidth="1"/>
    <col min="15122" max="15334" width="10.28515625" style="365"/>
    <col min="15335" max="15343" width="9.140625" style="365" customWidth="1"/>
    <col min="15344" max="15344" width="1" style="365" customWidth="1"/>
    <col min="15345" max="15348" width="3.28515625" style="365" customWidth="1"/>
    <col min="15349" max="15349" width="1.85546875" style="365" customWidth="1"/>
    <col min="15350" max="15350" width="17.85546875" style="365" customWidth="1"/>
    <col min="15351" max="15351" width="1.85546875" style="365" customWidth="1"/>
    <col min="15352" max="15355" width="3.28515625" style="365" customWidth="1"/>
    <col min="15356" max="15356" width="1.85546875" style="365" customWidth="1"/>
    <col min="15357" max="15357" width="12.42578125" style="365" customWidth="1"/>
    <col min="15358" max="15358" width="1.85546875" style="365" customWidth="1"/>
    <col min="15359" max="15361" width="3" style="365" customWidth="1"/>
    <col min="15362" max="15362" width="4.42578125" style="365" customWidth="1"/>
    <col min="15363" max="15364" width="3" style="365" customWidth="1"/>
    <col min="15365" max="15370" width="3.28515625" style="365" customWidth="1"/>
    <col min="15371" max="15372" width="9.140625" style="365" customWidth="1"/>
    <col min="15373" max="15376" width="3.28515625" style="365" customWidth="1"/>
    <col min="15377" max="15377" width="4.140625" style="365" customWidth="1"/>
    <col min="15378" max="15590" width="10.28515625" style="365"/>
    <col min="15591" max="15599" width="9.140625" style="365" customWidth="1"/>
    <col min="15600" max="15600" width="1" style="365" customWidth="1"/>
    <col min="15601" max="15604" width="3.28515625" style="365" customWidth="1"/>
    <col min="15605" max="15605" width="1.85546875" style="365" customWidth="1"/>
    <col min="15606" max="15606" width="17.85546875" style="365" customWidth="1"/>
    <col min="15607" max="15607" width="1.85546875" style="365" customWidth="1"/>
    <col min="15608" max="15611" width="3.28515625" style="365" customWidth="1"/>
    <col min="15612" max="15612" width="1.85546875" style="365" customWidth="1"/>
    <col min="15613" max="15613" width="12.42578125" style="365" customWidth="1"/>
    <col min="15614" max="15614" width="1.85546875" style="365" customWidth="1"/>
    <col min="15615" max="15617" width="3" style="365" customWidth="1"/>
    <col min="15618" max="15618" width="4.42578125" style="365" customWidth="1"/>
    <col min="15619" max="15620" width="3" style="365" customWidth="1"/>
    <col min="15621" max="15626" width="3.28515625" style="365" customWidth="1"/>
    <col min="15627" max="15628" width="9.140625" style="365" customWidth="1"/>
    <col min="15629" max="15632" width="3.28515625" style="365" customWidth="1"/>
    <col min="15633" max="15633" width="4.140625" style="365" customWidth="1"/>
    <col min="15634" max="15846" width="10.28515625" style="365"/>
    <col min="15847" max="15855" width="9.140625" style="365" customWidth="1"/>
    <col min="15856" max="15856" width="1" style="365" customWidth="1"/>
    <col min="15857" max="15860" width="3.28515625" style="365" customWidth="1"/>
    <col min="15861" max="15861" width="1.85546875" style="365" customWidth="1"/>
    <col min="15862" max="15862" width="17.85546875" style="365" customWidth="1"/>
    <col min="15863" max="15863" width="1.85546875" style="365" customWidth="1"/>
    <col min="15864" max="15867" width="3.28515625" style="365" customWidth="1"/>
    <col min="15868" max="15868" width="1.85546875" style="365" customWidth="1"/>
    <col min="15869" max="15869" width="12.42578125" style="365" customWidth="1"/>
    <col min="15870" max="15870" width="1.85546875" style="365" customWidth="1"/>
    <col min="15871" max="15873" width="3" style="365" customWidth="1"/>
    <col min="15874" max="15874" width="4.42578125" style="365" customWidth="1"/>
    <col min="15875" max="15876" width="3" style="365" customWidth="1"/>
    <col min="15877" max="15882" width="3.28515625" style="365" customWidth="1"/>
    <col min="15883" max="15884" width="9.140625" style="365" customWidth="1"/>
    <col min="15885" max="15888" width="3.28515625" style="365" customWidth="1"/>
    <col min="15889" max="15889" width="4.140625" style="365" customWidth="1"/>
    <col min="15890" max="16102" width="10.28515625" style="365"/>
    <col min="16103" max="16111" width="9.140625" style="365" customWidth="1"/>
    <col min="16112" max="16112" width="1" style="365" customWidth="1"/>
    <col min="16113" max="16116" width="3.28515625" style="365" customWidth="1"/>
    <col min="16117" max="16117" width="1.85546875" style="365" customWidth="1"/>
    <col min="16118" max="16118" width="17.85546875" style="365" customWidth="1"/>
    <col min="16119" max="16119" width="1.85546875" style="365" customWidth="1"/>
    <col min="16120" max="16123" width="3.28515625" style="365" customWidth="1"/>
    <col min="16124" max="16124" width="1.85546875" style="365" customWidth="1"/>
    <col min="16125" max="16125" width="12.42578125" style="365" customWidth="1"/>
    <col min="16126" max="16126" width="1.85546875" style="365" customWidth="1"/>
    <col min="16127" max="16129" width="3" style="365" customWidth="1"/>
    <col min="16130" max="16130" width="4.42578125" style="365" customWidth="1"/>
    <col min="16131" max="16132" width="3" style="365" customWidth="1"/>
    <col min="16133" max="16138" width="3.28515625" style="365" customWidth="1"/>
    <col min="16139" max="16140" width="9.140625" style="365" customWidth="1"/>
    <col min="16141" max="16144" width="3.28515625" style="365" customWidth="1"/>
    <col min="16145" max="16145" width="4.140625" style="365" customWidth="1"/>
    <col min="16146" max="16384" width="10.28515625" style="365"/>
  </cols>
  <sheetData>
    <row r="1" spans="1:30" ht="15" customHeight="1">
      <c r="A1" s="362" t="s">
        <v>274</v>
      </c>
      <c r="C1" s="33"/>
      <c r="D1" s="364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Y1" s="366" t="s">
        <v>275</v>
      </c>
      <c r="Z1" s="367"/>
      <c r="AA1" s="367"/>
      <c r="AB1" s="368"/>
      <c r="AD1" s="365"/>
    </row>
    <row r="2" spans="1:30" ht="15.95" customHeight="1" thickBot="1">
      <c r="A2" s="363"/>
      <c r="C2" s="33"/>
      <c r="D2" s="364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Y2" s="370"/>
      <c r="Z2" s="371"/>
      <c r="AA2" s="371"/>
      <c r="AB2" s="372"/>
      <c r="AD2" s="365"/>
    </row>
    <row r="3" spans="1:30">
      <c r="A3" s="373" t="s">
        <v>276</v>
      </c>
      <c r="C3" s="33"/>
      <c r="D3" s="364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AD3" s="365"/>
    </row>
    <row r="4" spans="1:30">
      <c r="A4" s="373" t="s">
        <v>4651</v>
      </c>
      <c r="C4" s="33"/>
      <c r="D4" s="364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AD4" s="365"/>
    </row>
    <row r="5" spans="1:30">
      <c r="A5" s="363"/>
      <c r="C5" s="33"/>
      <c r="D5" s="364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AD5" s="365"/>
    </row>
    <row r="6" spans="1:30" ht="76.5" customHeight="1">
      <c r="A6" s="374" t="s">
        <v>4652</v>
      </c>
      <c r="C6" s="375"/>
      <c r="D6" s="376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378"/>
      <c r="AD6" s="379"/>
    </row>
    <row r="7" spans="1:30" ht="21" customHeight="1" thickBot="1">
      <c r="A7" s="380"/>
      <c r="B7" s="47"/>
      <c r="C7" s="47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78"/>
      <c r="AD7" s="379"/>
    </row>
    <row r="8" spans="1:30" ht="18.75" thickBot="1">
      <c r="A8" s="383" t="s">
        <v>277</v>
      </c>
      <c r="B8" s="384"/>
      <c r="C8" s="385"/>
      <c r="D8" s="386"/>
      <c r="E8" s="386"/>
      <c r="F8" s="386"/>
      <c r="G8" s="386"/>
      <c r="H8" s="386"/>
      <c r="I8" s="387"/>
      <c r="J8" s="382"/>
      <c r="K8" s="388" t="s">
        <v>278</v>
      </c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7"/>
      <c r="AC8" s="378"/>
      <c r="AD8" s="379"/>
    </row>
    <row r="9" spans="1:30">
      <c r="A9" s="389"/>
      <c r="B9" s="390"/>
      <c r="C9" s="391"/>
      <c r="D9" s="392"/>
      <c r="E9" s="392"/>
      <c r="F9" s="392"/>
      <c r="G9" s="392"/>
      <c r="H9" s="392"/>
      <c r="I9" s="393"/>
      <c r="J9" s="382"/>
      <c r="K9" s="394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3"/>
      <c r="AC9" s="378"/>
      <c r="AD9" s="379"/>
    </row>
    <row r="10" spans="1:30">
      <c r="A10" s="395" t="s">
        <v>279</v>
      </c>
      <c r="B10" s="490" t="s">
        <v>4922</v>
      </c>
      <c r="C10" s="396" t="s">
        <v>4923</v>
      </c>
      <c r="D10" s="380" t="s">
        <v>4653</v>
      </c>
      <c r="E10" s="397"/>
      <c r="F10" s="397">
        <v>2</v>
      </c>
      <c r="G10" s="397">
        <v>0</v>
      </c>
      <c r="H10" s="397">
        <v>1</v>
      </c>
      <c r="I10" s="398"/>
      <c r="J10" s="382"/>
      <c r="K10" s="399" t="s">
        <v>280</v>
      </c>
      <c r="L10" s="400"/>
      <c r="M10" s="400"/>
      <c r="N10" s="400"/>
      <c r="O10" s="400"/>
      <c r="P10" s="380"/>
      <c r="Q10" s="380"/>
      <c r="R10" s="397">
        <v>2</v>
      </c>
      <c r="S10" s="397">
        <v>0</v>
      </c>
      <c r="T10" s="397">
        <v>2</v>
      </c>
      <c r="U10" s="397">
        <v>0</v>
      </c>
      <c r="V10" s="380"/>
      <c r="W10" s="380"/>
      <c r="X10" s="380"/>
      <c r="Y10" s="380"/>
      <c r="Z10" s="380"/>
      <c r="AA10" s="380"/>
      <c r="AB10" s="398"/>
      <c r="AC10" s="378"/>
      <c r="AD10" s="379"/>
    </row>
    <row r="11" spans="1:30">
      <c r="A11" s="395"/>
      <c r="B11" s="48"/>
      <c r="C11" s="401"/>
      <c r="D11" s="380"/>
      <c r="E11" s="380"/>
      <c r="F11" s="380"/>
      <c r="G11" s="380"/>
      <c r="H11" s="380"/>
      <c r="I11" s="398"/>
      <c r="J11" s="382"/>
      <c r="K11" s="402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398"/>
      <c r="AC11" s="378"/>
      <c r="AD11" s="379"/>
    </row>
    <row r="12" spans="1:30">
      <c r="A12" s="395"/>
      <c r="B12" s="48"/>
      <c r="C12" s="401"/>
      <c r="D12" s="380"/>
      <c r="E12" s="380"/>
      <c r="F12" s="380"/>
      <c r="G12" s="380"/>
      <c r="H12" s="380"/>
      <c r="I12" s="398"/>
      <c r="J12" s="382"/>
      <c r="K12" s="399" t="s">
        <v>4654</v>
      </c>
      <c r="L12" s="400"/>
      <c r="M12" s="400"/>
      <c r="N12" s="400"/>
      <c r="O12" s="400"/>
      <c r="P12" s="400"/>
      <c r="Q12" s="380">
        <v>1</v>
      </c>
      <c r="R12" s="397"/>
      <c r="S12" s="380"/>
      <c r="T12" s="380">
        <v>2</v>
      </c>
      <c r="U12" s="397"/>
      <c r="V12" s="380"/>
      <c r="W12" s="380">
        <v>3</v>
      </c>
      <c r="X12" s="397"/>
      <c r="Y12" s="380"/>
      <c r="Z12" s="380">
        <v>4</v>
      </c>
      <c r="AA12" s="397"/>
      <c r="AB12" s="398"/>
      <c r="AC12" s="378"/>
      <c r="AD12" s="379"/>
    </row>
    <row r="13" spans="1:30">
      <c r="A13" s="395"/>
      <c r="B13" s="48"/>
      <c r="C13" s="401"/>
      <c r="D13" s="380"/>
      <c r="E13" s="380"/>
      <c r="F13" s="380"/>
      <c r="G13" s="380"/>
      <c r="H13" s="380"/>
      <c r="I13" s="398"/>
      <c r="J13" s="382"/>
      <c r="K13" s="402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98"/>
      <c r="AC13" s="378"/>
      <c r="AD13" s="379"/>
    </row>
    <row r="14" spans="1:30">
      <c r="A14" s="395"/>
      <c r="B14" s="48"/>
      <c r="C14" s="401"/>
      <c r="D14" s="380"/>
      <c r="E14" s="380"/>
      <c r="F14" s="380"/>
      <c r="G14" s="380"/>
      <c r="H14" s="380"/>
      <c r="I14" s="398"/>
      <c r="J14" s="382"/>
      <c r="K14" s="399" t="s">
        <v>281</v>
      </c>
      <c r="L14" s="400"/>
      <c r="M14" s="400"/>
      <c r="N14" s="400"/>
      <c r="O14" s="400"/>
      <c r="P14" s="400"/>
      <c r="Q14" s="380"/>
      <c r="R14" s="397" t="s">
        <v>282</v>
      </c>
      <c r="S14" s="380"/>
      <c r="T14" s="380"/>
      <c r="U14" s="380"/>
      <c r="V14" s="400"/>
      <c r="W14" s="400"/>
      <c r="X14" s="400"/>
      <c r="Y14" s="403" t="s">
        <v>283</v>
      </c>
      <c r="Z14" s="380"/>
      <c r="AA14" s="397"/>
      <c r="AB14" s="398"/>
      <c r="AC14" s="378"/>
      <c r="AD14" s="379"/>
    </row>
    <row r="15" spans="1:30" ht="18.75" thickBot="1">
      <c r="A15" s="404"/>
      <c r="B15" s="405"/>
      <c r="C15" s="406"/>
      <c r="D15" s="407"/>
      <c r="E15" s="407"/>
      <c r="F15" s="407"/>
      <c r="G15" s="407"/>
      <c r="H15" s="407"/>
      <c r="I15" s="408"/>
      <c r="J15" s="382"/>
      <c r="K15" s="409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8"/>
      <c r="AC15" s="378"/>
      <c r="AD15" s="379"/>
    </row>
    <row r="16" spans="1:30">
      <c r="B16" s="48"/>
      <c r="C16" s="48"/>
      <c r="D16" s="401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380"/>
      <c r="AB16" s="380"/>
      <c r="AC16" s="378"/>
      <c r="AD16" s="379"/>
    </row>
    <row r="17" spans="1:30" ht="18.75" thickBot="1">
      <c r="B17" s="48"/>
      <c r="C17" s="48"/>
      <c r="D17" s="401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78"/>
      <c r="AD17" s="379"/>
    </row>
    <row r="18" spans="1:30" ht="15.95" customHeight="1" thickBot="1">
      <c r="A18" s="661" t="s">
        <v>284</v>
      </c>
      <c r="B18" s="662"/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/>
      <c r="Y18" s="662"/>
      <c r="Z18" s="662"/>
      <c r="AA18" s="662"/>
      <c r="AB18" s="663"/>
      <c r="AC18" s="378"/>
      <c r="AD18" s="379"/>
    </row>
    <row r="19" spans="1:30">
      <c r="A19" s="410"/>
      <c r="B19" s="411"/>
      <c r="C19" s="411"/>
      <c r="D19" s="412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  <c r="W19" s="413"/>
      <c r="X19" s="413"/>
      <c r="Y19" s="413"/>
      <c r="Z19" s="413"/>
      <c r="AA19" s="413"/>
      <c r="AB19" s="414"/>
      <c r="AC19" s="378"/>
      <c r="AD19" s="379"/>
    </row>
    <row r="20" spans="1:30">
      <c r="A20" s="415"/>
      <c r="B20" s="48"/>
      <c r="C20" s="48"/>
      <c r="D20" s="401"/>
      <c r="E20" s="380"/>
      <c r="F20" s="380"/>
      <c r="G20" s="403"/>
      <c r="H20" s="403" t="s">
        <v>285</v>
      </c>
      <c r="I20" s="397" t="s">
        <v>282</v>
      </c>
      <c r="J20" s="380"/>
      <c r="K20" s="403" t="s">
        <v>286</v>
      </c>
      <c r="L20" s="397"/>
      <c r="M20" s="416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98"/>
      <c r="AC20" s="378"/>
      <c r="AD20" s="379"/>
    </row>
    <row r="21" spans="1:30" ht="18.75" thickBot="1">
      <c r="A21" s="417"/>
      <c r="B21" s="405"/>
      <c r="C21" s="405"/>
      <c r="D21" s="406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7"/>
      <c r="Q21" s="407"/>
      <c r="R21" s="407"/>
      <c r="S21" s="407"/>
      <c r="T21" s="407"/>
      <c r="U21" s="407"/>
      <c r="V21" s="407"/>
      <c r="W21" s="407"/>
      <c r="X21" s="407"/>
      <c r="Y21" s="407"/>
      <c r="Z21" s="407"/>
      <c r="AA21" s="407"/>
      <c r="AB21" s="408"/>
      <c r="AC21" s="378"/>
      <c r="AD21" s="379"/>
    </row>
    <row r="22" spans="1:30">
      <c r="B22" s="48"/>
      <c r="C22" s="48"/>
      <c r="D22" s="401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0"/>
      <c r="AC22" s="378"/>
      <c r="AD22" s="379"/>
    </row>
    <row r="23" spans="1:30">
      <c r="A23" s="380"/>
      <c r="B23" s="48"/>
      <c r="C23" s="48"/>
      <c r="D23" s="401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78"/>
      <c r="AD23" s="379"/>
    </row>
    <row r="24" spans="1:30" s="420" customFormat="1" ht="22.5" customHeight="1" thickBot="1">
      <c r="A24" s="418"/>
      <c r="B24" s="419"/>
      <c r="C24" s="419"/>
      <c r="D24" s="406" t="s">
        <v>4655</v>
      </c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Y24" s="421"/>
      <c r="Z24" s="421"/>
      <c r="AA24" s="421"/>
      <c r="AB24" s="421"/>
      <c r="AC24" s="422"/>
      <c r="AD24" s="423"/>
    </row>
    <row r="25" spans="1:30" s="420" customFormat="1" ht="25.5" customHeight="1" thickBot="1">
      <c r="A25" s="674" t="s">
        <v>287</v>
      </c>
      <c r="B25" s="424" t="s">
        <v>288</v>
      </c>
      <c r="C25" s="425" t="s">
        <v>4656</v>
      </c>
      <c r="D25" s="426" t="s">
        <v>289</v>
      </c>
      <c r="E25" s="369"/>
      <c r="F25" s="427"/>
      <c r="G25" s="427"/>
      <c r="H25" s="427"/>
      <c r="I25" s="427"/>
      <c r="J25" s="429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8"/>
      <c r="Y25" s="429"/>
      <c r="Z25" s="429"/>
      <c r="AA25" s="429"/>
      <c r="AB25" s="429"/>
      <c r="AD25" s="423"/>
    </row>
    <row r="26" spans="1:30" s="435" customFormat="1" ht="24.95" customHeight="1">
      <c r="A26" s="675"/>
      <c r="B26" s="430"/>
      <c r="C26" s="431" t="s">
        <v>290</v>
      </c>
      <c r="D26" s="432"/>
      <c r="E26" s="433"/>
      <c r="F26" s="434"/>
    </row>
    <row r="27" spans="1:30" s="441" customFormat="1" ht="24.95" customHeight="1">
      <c r="A27" s="456"/>
      <c r="B27" s="436" t="s">
        <v>291</v>
      </c>
      <c r="C27" s="437" t="s">
        <v>292</v>
      </c>
      <c r="D27" s="438">
        <f>(D28+D37+D52+D57)</f>
        <v>1252767942.5699999</v>
      </c>
      <c r="E27" s="439"/>
      <c r="F27" s="440"/>
      <c r="J27" s="435"/>
    </row>
    <row r="28" spans="1:30" s="445" customFormat="1" ht="24.95" customHeight="1">
      <c r="A28" s="676"/>
      <c r="B28" s="442" t="s">
        <v>293</v>
      </c>
      <c r="C28" s="443" t="s">
        <v>294</v>
      </c>
      <c r="D28" s="438">
        <f>+D29+D36</f>
        <v>1203982641.27</v>
      </c>
      <c r="E28" s="444"/>
      <c r="F28" s="440"/>
      <c r="G28" s="441"/>
      <c r="H28" s="441"/>
      <c r="J28" s="435"/>
      <c r="L28" s="441"/>
    </row>
    <row r="29" spans="1:30" s="448" customFormat="1" ht="24.95" customHeight="1">
      <c r="A29" s="456"/>
      <c r="B29" s="446" t="s">
        <v>295</v>
      </c>
      <c r="C29" s="447" t="s">
        <v>296</v>
      </c>
      <c r="D29" s="438">
        <f>+D30+D31+D32+D35</f>
        <v>1199805141.27</v>
      </c>
      <c r="E29" s="422"/>
      <c r="F29" s="440"/>
      <c r="G29" s="441"/>
      <c r="H29" s="441"/>
      <c r="J29" s="435"/>
      <c r="L29" s="441"/>
    </row>
    <row r="30" spans="1:30" s="448" customFormat="1" ht="24.95" customHeight="1">
      <c r="A30" s="456"/>
      <c r="B30" s="449" t="s">
        <v>4657</v>
      </c>
      <c r="C30" s="450" t="s">
        <v>4658</v>
      </c>
      <c r="D30" s="491">
        <f>SUMIF('pdc2019'!$G$8:$G$1169,'CE MINISTERIALE 2019'!$B30,'pdc2019'!$Q$8:$Q$1169)</f>
        <v>1194302141.27</v>
      </c>
      <c r="E30" s="422"/>
      <c r="F30" s="423"/>
      <c r="G30" s="441"/>
      <c r="H30" s="441"/>
      <c r="J30" s="435"/>
      <c r="L30" s="441"/>
    </row>
    <row r="31" spans="1:30" s="448" customFormat="1" ht="24.95" customHeight="1">
      <c r="A31" s="456"/>
      <c r="B31" s="449" t="s">
        <v>4659</v>
      </c>
      <c r="C31" s="450" t="s">
        <v>4660</v>
      </c>
      <c r="D31" s="491">
        <f>SUMIF('pdc2019'!$G$8:$G$1169,'CE MINISTERIALE 2019'!$B31,'pdc2019'!$Q$8:$Q$1169)</f>
        <v>5503000</v>
      </c>
      <c r="E31" s="422"/>
      <c r="F31" s="423"/>
      <c r="G31" s="441"/>
      <c r="H31" s="441"/>
      <c r="J31" s="435"/>
      <c r="L31" s="441"/>
    </row>
    <row r="32" spans="1:30" s="448" customFormat="1" ht="24.95" customHeight="1">
      <c r="A32" s="456"/>
      <c r="B32" s="451" t="s">
        <v>4661</v>
      </c>
      <c r="C32" s="452" t="s">
        <v>4662</v>
      </c>
      <c r="D32" s="438">
        <f>+D33+D34</f>
        <v>0</v>
      </c>
      <c r="E32" s="422"/>
      <c r="F32" s="423"/>
      <c r="G32" s="441"/>
      <c r="H32" s="441"/>
      <c r="J32" s="435"/>
      <c r="L32" s="441"/>
    </row>
    <row r="33" spans="1:12" s="448" customFormat="1" ht="24.95" customHeight="1">
      <c r="A33" s="456"/>
      <c r="B33" s="451" t="s">
        <v>4663</v>
      </c>
      <c r="C33" s="452" t="s">
        <v>4664</v>
      </c>
      <c r="D33" s="491">
        <f>SUMIF('pdc2019'!$G$8:$G$1169,'CE MINISTERIALE 2019'!$B33,'pdc2019'!$Q$8:$Q$1169)</f>
        <v>0</v>
      </c>
      <c r="E33" s="422"/>
      <c r="F33" s="423"/>
      <c r="G33" s="441"/>
      <c r="H33" s="441"/>
      <c r="J33" s="435"/>
      <c r="L33" s="441"/>
    </row>
    <row r="34" spans="1:12" s="448" customFormat="1" ht="24.95" customHeight="1">
      <c r="A34" s="456"/>
      <c r="B34" s="451" t="s">
        <v>4665</v>
      </c>
      <c r="C34" s="452" t="s">
        <v>4666</v>
      </c>
      <c r="D34" s="491">
        <f>SUMIF('pdc2019'!$G$8:$G$1169,'CE MINISTERIALE 2019'!$B34,'pdc2019'!$Q$8:$Q$1169)</f>
        <v>0</v>
      </c>
      <c r="E34" s="422"/>
      <c r="F34" s="423"/>
      <c r="G34" s="441"/>
      <c r="H34" s="441"/>
      <c r="J34" s="435"/>
      <c r="L34" s="441"/>
    </row>
    <row r="35" spans="1:12" s="448" customFormat="1" ht="24.95" customHeight="1">
      <c r="A35" s="456"/>
      <c r="B35" s="449" t="s">
        <v>4667</v>
      </c>
      <c r="C35" s="450" t="s">
        <v>4668</v>
      </c>
      <c r="D35" s="491">
        <f>SUMIF('pdc2019'!$G$8:$G$1169,'CE MINISTERIALE 2019'!$B35,'pdc2019'!$Q$8:$Q$1169)</f>
        <v>0</v>
      </c>
      <c r="E35" s="422"/>
      <c r="F35" s="423"/>
      <c r="G35" s="441"/>
      <c r="H35" s="441"/>
      <c r="J35" s="435"/>
      <c r="L35" s="441"/>
    </row>
    <row r="36" spans="1:12" s="448" customFormat="1" ht="24.95" customHeight="1">
      <c r="A36" s="456"/>
      <c r="B36" s="446" t="s">
        <v>297</v>
      </c>
      <c r="C36" s="447" t="s">
        <v>298</v>
      </c>
      <c r="D36" s="491">
        <f>SUMIF('pdc2019'!$G$8:$G$1169,'CE MINISTERIALE 2019'!$B36,'pdc2019'!$Q$8:$Q$1169)</f>
        <v>4177500</v>
      </c>
      <c r="E36" s="422"/>
      <c r="F36" s="423"/>
      <c r="G36" s="441"/>
      <c r="H36" s="441"/>
      <c r="J36" s="435"/>
      <c r="L36" s="441"/>
    </row>
    <row r="37" spans="1:12" s="448" customFormat="1" ht="24.95" customHeight="1">
      <c r="A37" s="456"/>
      <c r="B37" s="442" t="s">
        <v>299</v>
      </c>
      <c r="C37" s="443" t="s">
        <v>300</v>
      </c>
      <c r="D37" s="438">
        <f>+D38+D43+D46</f>
        <v>48288000</v>
      </c>
      <c r="E37" s="422"/>
      <c r="F37" s="440"/>
      <c r="G37" s="441"/>
      <c r="H37" s="441"/>
      <c r="J37" s="435"/>
      <c r="L37" s="441"/>
    </row>
    <row r="38" spans="1:12" s="448" customFormat="1" ht="24.95" customHeight="1">
      <c r="A38" s="456"/>
      <c r="B38" s="446" t="s">
        <v>301</v>
      </c>
      <c r="C38" s="447" t="s">
        <v>302</v>
      </c>
      <c r="D38" s="438">
        <f>+D39+D40+D41+D42</f>
        <v>48288000</v>
      </c>
      <c r="E38" s="422"/>
      <c r="F38" s="440"/>
      <c r="G38" s="441"/>
      <c r="H38" s="441"/>
      <c r="J38" s="435"/>
      <c r="L38" s="441"/>
    </row>
    <row r="39" spans="1:12" s="448" customFormat="1" ht="24.95" customHeight="1">
      <c r="A39" s="456"/>
      <c r="B39" s="449" t="s">
        <v>303</v>
      </c>
      <c r="C39" s="450" t="s">
        <v>304</v>
      </c>
      <c r="D39" s="491">
        <f>SUMIF('pdc2019'!$G$8:$G$1169,'CE MINISTERIALE 2019'!$B39,'pdc2019'!$Q$8:$Q$1169)</f>
        <v>0</v>
      </c>
      <c r="E39" s="422"/>
      <c r="F39" s="423"/>
      <c r="G39" s="441"/>
      <c r="H39" s="441"/>
      <c r="J39" s="435"/>
      <c r="L39" s="441"/>
    </row>
    <row r="40" spans="1:12" s="448" customFormat="1" ht="24.95" customHeight="1">
      <c r="A40" s="456"/>
      <c r="B40" s="449" t="s">
        <v>305</v>
      </c>
      <c r="C40" s="450" t="s">
        <v>306</v>
      </c>
      <c r="D40" s="491">
        <f>SUMIF('pdc2019'!$G$8:$G$1169,'CE MINISTERIALE 2019'!$B40,'pdc2019'!$Q$8:$Q$1169)</f>
        <v>0</v>
      </c>
      <c r="E40" s="422"/>
      <c r="F40" s="423"/>
      <c r="G40" s="441"/>
      <c r="H40" s="441"/>
      <c r="J40" s="435"/>
      <c r="L40" s="441"/>
    </row>
    <row r="41" spans="1:12" s="448" customFormat="1" ht="24.95" customHeight="1">
      <c r="A41" s="456"/>
      <c r="B41" s="449" t="s">
        <v>307</v>
      </c>
      <c r="C41" s="450" t="s">
        <v>308</v>
      </c>
      <c r="D41" s="491">
        <f>SUMIF('pdc2019'!$G$8:$G$1169,'CE MINISTERIALE 2019'!$B41,'pdc2019'!$Q$8:$Q$1169)</f>
        <v>48288000</v>
      </c>
      <c r="E41" s="422"/>
      <c r="F41" s="423"/>
      <c r="G41" s="441"/>
      <c r="H41" s="441"/>
      <c r="J41" s="435"/>
      <c r="L41" s="441"/>
    </row>
    <row r="42" spans="1:12" s="448" customFormat="1" ht="24.95" customHeight="1">
      <c r="A42" s="456"/>
      <c r="B42" s="449" t="s">
        <v>309</v>
      </c>
      <c r="C42" s="450" t="s">
        <v>310</v>
      </c>
      <c r="D42" s="491">
        <f>SUMIF('pdc2019'!$G$8:$G$1169,'CE MINISTERIALE 2019'!$B42,'pdc2019'!$Q$8:$Q$1169)</f>
        <v>0</v>
      </c>
      <c r="E42" s="422"/>
      <c r="F42" s="423"/>
      <c r="G42" s="441"/>
      <c r="H42" s="441"/>
      <c r="J42" s="435"/>
      <c r="L42" s="441"/>
    </row>
    <row r="43" spans="1:12" s="448" customFormat="1" ht="24.95" customHeight="1">
      <c r="A43" s="456"/>
      <c r="B43" s="446" t="s">
        <v>3188</v>
      </c>
      <c r="C43" s="447" t="s">
        <v>311</v>
      </c>
      <c r="D43" s="438">
        <f>+D44+D45</f>
        <v>0</v>
      </c>
      <c r="E43" s="422"/>
      <c r="F43" s="440"/>
      <c r="G43" s="441"/>
      <c r="H43" s="441"/>
      <c r="J43" s="435"/>
      <c r="L43" s="441"/>
    </row>
    <row r="44" spans="1:12" s="448" customFormat="1" ht="24.95" customHeight="1">
      <c r="A44" s="456" t="s">
        <v>312</v>
      </c>
      <c r="B44" s="449" t="s">
        <v>3192</v>
      </c>
      <c r="C44" s="450" t="s">
        <v>313</v>
      </c>
      <c r="D44" s="491">
        <f>SUMIF('pdc2019'!$G$8:$G$1169,'CE MINISTERIALE 2019'!$B44,'pdc2019'!$Q$8:$Q$1169)</f>
        <v>0</v>
      </c>
      <c r="E44" s="422"/>
      <c r="F44" s="423"/>
      <c r="G44" s="441"/>
      <c r="H44" s="441"/>
      <c r="J44" s="435"/>
      <c r="L44" s="441"/>
    </row>
    <row r="45" spans="1:12" s="448" customFormat="1" ht="24.95" customHeight="1">
      <c r="A45" s="456" t="s">
        <v>312</v>
      </c>
      <c r="B45" s="449" t="s">
        <v>314</v>
      </c>
      <c r="C45" s="450" t="s">
        <v>315</v>
      </c>
      <c r="D45" s="491">
        <f>SUMIF('pdc2019'!$G$8:$G$1169,'CE MINISTERIALE 2019'!$B45,'pdc2019'!$Q$8:$Q$1169)</f>
        <v>0</v>
      </c>
      <c r="E45" s="422"/>
      <c r="F45" s="423"/>
      <c r="G45" s="441"/>
      <c r="H45" s="441"/>
      <c r="J45" s="435"/>
      <c r="L45" s="441"/>
    </row>
    <row r="46" spans="1:12" s="423" customFormat="1" ht="24.95" customHeight="1">
      <c r="A46" s="453"/>
      <c r="B46" s="446" t="s">
        <v>316</v>
      </c>
      <c r="C46" s="447" t="s">
        <v>4669</v>
      </c>
      <c r="D46" s="438">
        <f>+D47+D48+D49+D50+D51</f>
        <v>0</v>
      </c>
      <c r="E46" s="422"/>
      <c r="F46" s="440"/>
      <c r="G46" s="441"/>
      <c r="H46" s="441"/>
      <c r="J46" s="435"/>
      <c r="L46" s="441"/>
    </row>
    <row r="47" spans="1:12" s="423" customFormat="1" ht="24.95" customHeight="1">
      <c r="A47" s="453"/>
      <c r="B47" s="449" t="s">
        <v>4670</v>
      </c>
      <c r="C47" s="450" t="s">
        <v>4671</v>
      </c>
      <c r="D47" s="491">
        <f>SUMIF('pdc2019'!$G$8:$G$1169,'CE MINISTERIALE 2019'!$B47,'pdc2019'!$Q$8:$Q$1169)</f>
        <v>0</v>
      </c>
      <c r="E47" s="422"/>
      <c r="G47" s="441"/>
      <c r="H47" s="441"/>
      <c r="J47" s="435"/>
      <c r="L47" s="441"/>
    </row>
    <row r="48" spans="1:12" s="423" customFormat="1" ht="24.95" customHeight="1">
      <c r="A48" s="453"/>
      <c r="B48" s="449" t="s">
        <v>317</v>
      </c>
      <c r="C48" s="450" t="s">
        <v>4672</v>
      </c>
      <c r="D48" s="491">
        <f>SUMIF('pdc2019'!$G$8:$G$1169,'CE MINISTERIALE 2019'!$B48,'pdc2019'!$Q$8:$Q$1169)</f>
        <v>0</v>
      </c>
      <c r="E48" s="422"/>
      <c r="G48" s="441"/>
      <c r="H48" s="441"/>
      <c r="J48" s="435"/>
      <c r="L48" s="441"/>
    </row>
    <row r="49" spans="1:12" s="423" customFormat="1" ht="24.95" customHeight="1">
      <c r="A49" s="453"/>
      <c r="B49" s="449" t="s">
        <v>318</v>
      </c>
      <c r="C49" s="450" t="s">
        <v>4673</v>
      </c>
      <c r="D49" s="491">
        <f>SUMIF('pdc2019'!$G$8:$G$1169,'CE MINISTERIALE 2019'!$B49,'pdc2019'!$Q$8:$Q$1169)</f>
        <v>0</v>
      </c>
      <c r="E49" s="422"/>
      <c r="G49" s="441"/>
      <c r="H49" s="441"/>
      <c r="J49" s="435"/>
      <c r="L49" s="441"/>
    </row>
    <row r="50" spans="1:12" s="423" customFormat="1" ht="24.95" customHeight="1">
      <c r="A50" s="453"/>
      <c r="B50" s="449" t="s">
        <v>319</v>
      </c>
      <c r="C50" s="450" t="s">
        <v>4674</v>
      </c>
      <c r="D50" s="491">
        <f>SUMIF('pdc2019'!$G$8:$G$1169,'CE MINISTERIALE 2019'!$B50,'pdc2019'!$Q$8:$Q$1169)</f>
        <v>0</v>
      </c>
      <c r="E50" s="422"/>
      <c r="G50" s="441"/>
      <c r="H50" s="441"/>
      <c r="J50" s="435"/>
      <c r="L50" s="441"/>
    </row>
    <row r="51" spans="1:12" s="423" customFormat="1" ht="25.15" customHeight="1">
      <c r="A51" s="453"/>
      <c r="B51" s="449" t="s">
        <v>4675</v>
      </c>
      <c r="C51" s="450" t="s">
        <v>4676</v>
      </c>
      <c r="D51" s="491">
        <f>SUMIF('pdc2019'!$G$8:$G$1169,'CE MINISTERIALE 2019'!$B51,'pdc2019'!$Q$8:$Q$1169)</f>
        <v>0</v>
      </c>
      <c r="E51" s="422"/>
      <c r="G51" s="441"/>
      <c r="H51" s="441"/>
      <c r="J51" s="435"/>
      <c r="L51" s="441"/>
    </row>
    <row r="52" spans="1:12" s="448" customFormat="1" ht="24.95" customHeight="1">
      <c r="A52" s="456"/>
      <c r="B52" s="442" t="s">
        <v>320</v>
      </c>
      <c r="C52" s="443" t="s">
        <v>321</v>
      </c>
      <c r="D52" s="438">
        <f>+D53+D54+D55+D56</f>
        <v>497301.3</v>
      </c>
      <c r="E52" s="422"/>
      <c r="F52" s="440"/>
      <c r="G52" s="441"/>
      <c r="H52" s="441"/>
      <c r="J52" s="435"/>
      <c r="L52" s="441"/>
    </row>
    <row r="53" spans="1:12" s="448" customFormat="1" ht="24.95" customHeight="1">
      <c r="A53" s="456"/>
      <c r="B53" s="446" t="s">
        <v>322</v>
      </c>
      <c r="C53" s="447" t="s">
        <v>85</v>
      </c>
      <c r="D53" s="491">
        <f>SUMIF('pdc2019'!$G$8:$G$1169,'CE MINISTERIALE 2019'!$B53,'pdc2019'!$Q$8:$Q$1169)</f>
        <v>0</v>
      </c>
      <c r="E53" s="422"/>
      <c r="F53" s="423"/>
      <c r="G53" s="441"/>
      <c r="H53" s="441"/>
      <c r="J53" s="435"/>
      <c r="L53" s="441"/>
    </row>
    <row r="54" spans="1:12" s="448" customFormat="1" ht="24.95" customHeight="1">
      <c r="A54" s="456"/>
      <c r="B54" s="446" t="s">
        <v>86</v>
      </c>
      <c r="C54" s="447" t="s">
        <v>87</v>
      </c>
      <c r="D54" s="491">
        <f>SUMIF('pdc2019'!$G$8:$G$1169,'CE MINISTERIALE 2019'!$B54,'pdc2019'!$Q$8:$Q$1169)</f>
        <v>47301.3</v>
      </c>
      <c r="E54" s="422"/>
      <c r="F54" s="423"/>
      <c r="G54" s="441"/>
      <c r="H54" s="441"/>
      <c r="J54" s="435"/>
      <c r="L54" s="441"/>
    </row>
    <row r="55" spans="1:12" s="448" customFormat="1" ht="24.95" customHeight="1">
      <c r="A55" s="456"/>
      <c r="B55" s="446" t="s">
        <v>88</v>
      </c>
      <c r="C55" s="447" t="s">
        <v>89</v>
      </c>
      <c r="D55" s="491">
        <f>SUMIF('pdc2019'!$G$8:$G$1169,'CE MINISTERIALE 2019'!$B55,'pdc2019'!$Q$8:$Q$1169)</f>
        <v>450000</v>
      </c>
      <c r="E55" s="422"/>
      <c r="F55" s="423"/>
      <c r="G55" s="441"/>
      <c r="H55" s="441"/>
      <c r="J55" s="435"/>
      <c r="L55" s="441"/>
    </row>
    <row r="56" spans="1:12" s="448" customFormat="1" ht="24.95" customHeight="1">
      <c r="A56" s="456"/>
      <c r="B56" s="446" t="s">
        <v>90</v>
      </c>
      <c r="C56" s="447" t="s">
        <v>91</v>
      </c>
      <c r="D56" s="491">
        <f>SUMIF('pdc2019'!$G$8:$G$1169,'CE MINISTERIALE 2019'!$B56,'pdc2019'!$Q$8:$Q$1169)</f>
        <v>0</v>
      </c>
      <c r="E56" s="422"/>
      <c r="F56" s="423"/>
      <c r="G56" s="441"/>
      <c r="H56" s="441"/>
      <c r="J56" s="435"/>
      <c r="L56" s="441"/>
    </row>
    <row r="57" spans="1:12" s="448" customFormat="1" ht="24.95" customHeight="1">
      <c r="A57" s="456"/>
      <c r="B57" s="442" t="s">
        <v>92</v>
      </c>
      <c r="C57" s="443" t="s">
        <v>93</v>
      </c>
      <c r="D57" s="491">
        <f>SUMIF('pdc2019'!$G$8:$G$1169,'CE MINISTERIALE 2019'!$B57,'pdc2019'!$Q$8:$Q$1169)</f>
        <v>0</v>
      </c>
      <c r="E57" s="422"/>
      <c r="F57" s="423"/>
      <c r="G57" s="441"/>
      <c r="H57" s="441"/>
      <c r="J57" s="435"/>
      <c r="L57" s="441"/>
    </row>
    <row r="58" spans="1:12" s="448" customFormat="1" ht="24.95" customHeight="1">
      <c r="A58" s="456"/>
      <c r="B58" s="436" t="s">
        <v>2269</v>
      </c>
      <c r="C58" s="437" t="s">
        <v>94</v>
      </c>
      <c r="D58" s="438">
        <f>+D59+D60</f>
        <v>0</v>
      </c>
      <c r="E58" s="422"/>
      <c r="F58" s="440"/>
      <c r="G58" s="441"/>
      <c r="H58" s="441"/>
      <c r="J58" s="435"/>
      <c r="L58" s="441"/>
    </row>
    <row r="59" spans="1:12" s="448" customFormat="1" ht="24.95" customHeight="1">
      <c r="A59" s="456"/>
      <c r="B59" s="442" t="s">
        <v>95</v>
      </c>
      <c r="C59" s="443" t="s">
        <v>96</v>
      </c>
      <c r="D59" s="491">
        <f>SUMIF('pdc2019'!$G$8:$G$1169,'CE MINISTERIALE 2019'!$B59,'pdc2019'!$Q$8:$Q$1169)</f>
        <v>0</v>
      </c>
      <c r="E59" s="422"/>
      <c r="F59" s="423"/>
      <c r="G59" s="441"/>
      <c r="H59" s="441"/>
      <c r="J59" s="435"/>
      <c r="L59" s="441"/>
    </row>
    <row r="60" spans="1:12" s="448" customFormat="1" ht="24.95" customHeight="1">
      <c r="A60" s="456"/>
      <c r="B60" s="442" t="s">
        <v>97</v>
      </c>
      <c r="C60" s="443" t="s">
        <v>98</v>
      </c>
      <c r="D60" s="491">
        <f>SUMIF('pdc2019'!$G$8:$G$1169,'CE MINISTERIALE 2019'!$B60,'pdc2019'!$Q$8:$Q$1169)</f>
        <v>0</v>
      </c>
      <c r="E60" s="422"/>
      <c r="F60" s="423"/>
      <c r="G60" s="441"/>
      <c r="H60" s="441"/>
      <c r="J60" s="435"/>
      <c r="L60" s="441"/>
    </row>
    <row r="61" spans="1:12" s="423" customFormat="1" ht="24.95" customHeight="1">
      <c r="A61" s="453"/>
      <c r="B61" s="436" t="s">
        <v>99</v>
      </c>
      <c r="C61" s="437" t="s">
        <v>4677</v>
      </c>
      <c r="D61" s="438">
        <f>+D62+D63+D64+D65+D66</f>
        <v>0</v>
      </c>
      <c r="E61" s="422"/>
      <c r="F61" s="440"/>
      <c r="G61" s="441"/>
      <c r="H61" s="441"/>
      <c r="J61" s="435"/>
      <c r="L61" s="441"/>
    </row>
    <row r="62" spans="1:12" s="422" customFormat="1" ht="24.95" customHeight="1">
      <c r="A62" s="453"/>
      <c r="B62" s="442" t="s">
        <v>4678</v>
      </c>
      <c r="C62" s="443" t="s">
        <v>4679</v>
      </c>
      <c r="D62" s="491">
        <f>SUMIF('pdc2019'!$G$8:$G$1169,'CE MINISTERIALE 2019'!$B62,'pdc2019'!$Q$8:$Q$1169)</f>
        <v>0</v>
      </c>
      <c r="G62" s="441"/>
      <c r="H62" s="441"/>
      <c r="J62" s="435"/>
      <c r="L62" s="441"/>
    </row>
    <row r="63" spans="1:12" s="423" customFormat="1" ht="24.95" customHeight="1">
      <c r="A63" s="453"/>
      <c r="B63" s="442" t="s">
        <v>100</v>
      </c>
      <c r="C63" s="443" t="s">
        <v>4680</v>
      </c>
      <c r="D63" s="491">
        <f>SUMIF('pdc2019'!$G$8:$G$1169,'CE MINISTERIALE 2019'!$B63,'pdc2019'!$Q$8:$Q$1169)</f>
        <v>0</v>
      </c>
      <c r="E63" s="422"/>
      <c r="G63" s="441"/>
      <c r="H63" s="441"/>
      <c r="J63" s="435"/>
      <c r="L63" s="441"/>
    </row>
    <row r="64" spans="1:12" s="423" customFormat="1" ht="24.95" customHeight="1">
      <c r="A64" s="453"/>
      <c r="B64" s="442" t="s">
        <v>101</v>
      </c>
      <c r="C64" s="443" t="s">
        <v>4681</v>
      </c>
      <c r="D64" s="491">
        <f>SUMIF('pdc2019'!$G$8:$G$1169,'CE MINISTERIALE 2019'!$B64,'pdc2019'!$Q$8:$Q$1169)</f>
        <v>0</v>
      </c>
      <c r="E64" s="422"/>
      <c r="G64" s="441"/>
      <c r="H64" s="441"/>
      <c r="J64" s="435"/>
      <c r="L64" s="441"/>
    </row>
    <row r="65" spans="1:12" s="423" customFormat="1" ht="24.95" customHeight="1">
      <c r="A65" s="453"/>
      <c r="B65" s="442" t="s">
        <v>102</v>
      </c>
      <c r="C65" s="443" t="s">
        <v>4682</v>
      </c>
      <c r="D65" s="491">
        <f>SUMIF('pdc2019'!$G$8:$G$1169,'CE MINISTERIALE 2019'!$B65,'pdc2019'!$Q$8:$Q$1169)</f>
        <v>0</v>
      </c>
      <c r="E65" s="422"/>
      <c r="G65" s="441"/>
      <c r="H65" s="441"/>
      <c r="J65" s="435"/>
      <c r="L65" s="441"/>
    </row>
    <row r="66" spans="1:12" s="423" customFormat="1" ht="24.95" customHeight="1">
      <c r="A66" s="453"/>
      <c r="B66" s="442" t="s">
        <v>2134</v>
      </c>
      <c r="C66" s="443" t="s">
        <v>4683</v>
      </c>
      <c r="D66" s="491">
        <f>SUMIF('pdc2019'!$G$8:$G$1169,'CE MINISTERIALE 2019'!$B66,'pdc2019'!$Q$8:$Q$1169)</f>
        <v>0</v>
      </c>
      <c r="E66" s="422"/>
      <c r="G66" s="441"/>
      <c r="H66" s="441"/>
      <c r="J66" s="435"/>
      <c r="L66" s="441"/>
    </row>
    <row r="67" spans="1:12" s="448" customFormat="1" ht="24.95" customHeight="1">
      <c r="A67" s="456"/>
      <c r="B67" s="436" t="s">
        <v>103</v>
      </c>
      <c r="C67" s="437" t="s">
        <v>104</v>
      </c>
      <c r="D67" s="438">
        <f>+D68+D107+D113+D114</f>
        <v>63818000</v>
      </c>
      <c r="E67" s="422"/>
      <c r="F67" s="440"/>
      <c r="G67" s="441"/>
      <c r="H67" s="441"/>
      <c r="J67" s="435"/>
      <c r="L67" s="441"/>
    </row>
    <row r="68" spans="1:12" s="448" customFormat="1" ht="24.95" customHeight="1">
      <c r="A68" s="456"/>
      <c r="B68" s="442" t="s">
        <v>105</v>
      </c>
      <c r="C68" s="443" t="s">
        <v>106</v>
      </c>
      <c r="D68" s="438">
        <f>+D69+D85+D86</f>
        <v>46218000</v>
      </c>
      <c r="E68" s="422"/>
      <c r="F68" s="440"/>
      <c r="G68" s="441"/>
      <c r="H68" s="441"/>
      <c r="J68" s="435"/>
      <c r="L68" s="441"/>
    </row>
    <row r="69" spans="1:12" s="448" customFormat="1" ht="24.95" customHeight="1">
      <c r="A69" s="456" t="s">
        <v>312</v>
      </c>
      <c r="B69" s="446" t="s">
        <v>107</v>
      </c>
      <c r="C69" s="447" t="s">
        <v>108</v>
      </c>
      <c r="D69" s="438">
        <f>SUM(D70:D84)</f>
        <v>0</v>
      </c>
      <c r="E69" s="422"/>
      <c r="F69" s="440"/>
      <c r="G69" s="441"/>
      <c r="H69" s="441"/>
      <c r="J69" s="435"/>
      <c r="L69" s="441"/>
    </row>
    <row r="70" spans="1:12" s="448" customFormat="1" ht="24.95" customHeight="1">
      <c r="A70" s="456" t="s">
        <v>312</v>
      </c>
      <c r="B70" s="449" t="s">
        <v>109</v>
      </c>
      <c r="C70" s="450" t="s">
        <v>110</v>
      </c>
      <c r="D70" s="491">
        <f>SUMIF('pdc2019'!$G$8:$G$1169,'CE MINISTERIALE 2019'!$B70,'pdc2019'!$Q$8:$Q$1169)</f>
        <v>0</v>
      </c>
      <c r="E70" s="422"/>
      <c r="F70" s="423"/>
      <c r="G70" s="441"/>
      <c r="H70" s="441"/>
      <c r="J70" s="435"/>
      <c r="L70" s="441"/>
    </row>
    <row r="71" spans="1:12" s="423" customFormat="1" ht="24.95" customHeight="1">
      <c r="A71" s="453" t="s">
        <v>312</v>
      </c>
      <c r="B71" s="449" t="s">
        <v>111</v>
      </c>
      <c r="C71" s="450" t="s">
        <v>112</v>
      </c>
      <c r="D71" s="491">
        <f>SUMIF('pdc2019'!$G$8:$G$1169,'CE MINISTERIALE 2019'!$B71,'pdc2019'!$Q$8:$Q$1169)</f>
        <v>0</v>
      </c>
      <c r="E71" s="422"/>
      <c r="G71" s="441"/>
      <c r="H71" s="441"/>
      <c r="J71" s="435"/>
      <c r="L71" s="441"/>
    </row>
    <row r="72" spans="1:12" s="423" customFormat="1" ht="24.95" customHeight="1">
      <c r="A72" s="453" t="s">
        <v>312</v>
      </c>
      <c r="B72" s="449" t="s">
        <v>4684</v>
      </c>
      <c r="C72" s="450" t="s">
        <v>4685</v>
      </c>
      <c r="D72" s="491">
        <f>SUMIF('pdc2019'!$G$8:$G$1169,'CE MINISTERIALE 2019'!$B72,'pdc2019'!$Q$8:$Q$1169)</f>
        <v>0</v>
      </c>
      <c r="E72" s="422"/>
      <c r="G72" s="441"/>
      <c r="H72" s="441"/>
      <c r="J72" s="435"/>
      <c r="L72" s="441"/>
    </row>
    <row r="73" spans="1:12" s="423" customFormat="1" ht="24.95" customHeight="1">
      <c r="A73" s="453" t="s">
        <v>312</v>
      </c>
      <c r="B73" s="449" t="s">
        <v>113</v>
      </c>
      <c r="C73" s="450" t="s">
        <v>4686</v>
      </c>
      <c r="D73" s="491">
        <f>SUMIF('pdc2019'!$G$8:$G$1169,'CE MINISTERIALE 2019'!$B73,'pdc2019'!$Q$8:$Q$1169)</f>
        <v>0</v>
      </c>
      <c r="E73" s="422"/>
      <c r="G73" s="441"/>
      <c r="H73" s="441"/>
      <c r="J73" s="435"/>
      <c r="L73" s="441"/>
    </row>
    <row r="74" spans="1:12" s="423" customFormat="1" ht="24.95" customHeight="1">
      <c r="A74" s="453" t="s">
        <v>312</v>
      </c>
      <c r="B74" s="449" t="s">
        <v>114</v>
      </c>
      <c r="C74" s="450" t="s">
        <v>4687</v>
      </c>
      <c r="D74" s="491">
        <f>SUMIF('pdc2019'!$G$8:$G$1169,'CE MINISTERIALE 2019'!$B74,'pdc2019'!$Q$8:$Q$1169)</f>
        <v>0</v>
      </c>
      <c r="E74" s="422"/>
      <c r="G74" s="441"/>
      <c r="H74" s="441"/>
      <c r="J74" s="435"/>
      <c r="L74" s="441"/>
    </row>
    <row r="75" spans="1:12" s="423" customFormat="1" ht="24.95" customHeight="1">
      <c r="A75" s="453" t="s">
        <v>312</v>
      </c>
      <c r="B75" s="449" t="s">
        <v>115</v>
      </c>
      <c r="C75" s="450" t="s">
        <v>4688</v>
      </c>
      <c r="D75" s="491">
        <f>SUMIF('pdc2019'!$G$8:$G$1169,'CE MINISTERIALE 2019'!$B75,'pdc2019'!$Q$8:$Q$1169)</f>
        <v>0</v>
      </c>
      <c r="E75" s="422"/>
      <c r="G75" s="441"/>
      <c r="H75" s="441"/>
      <c r="J75" s="435"/>
      <c r="L75" s="441"/>
    </row>
    <row r="76" spans="1:12" s="423" customFormat="1" ht="24.95" customHeight="1">
      <c r="A76" s="453" t="s">
        <v>312</v>
      </c>
      <c r="B76" s="449" t="s">
        <v>795</v>
      </c>
      <c r="C76" s="450" t="s">
        <v>4689</v>
      </c>
      <c r="D76" s="491">
        <f>SUMIF('pdc2019'!$G$8:$G$1169,'CE MINISTERIALE 2019'!$B76,'pdc2019'!$Q$8:$Q$1169)</f>
        <v>0</v>
      </c>
      <c r="E76" s="422"/>
      <c r="G76" s="441"/>
      <c r="H76" s="441"/>
      <c r="J76" s="435"/>
      <c r="L76" s="441"/>
    </row>
    <row r="77" spans="1:12" s="423" customFormat="1" ht="24.95" customHeight="1">
      <c r="A77" s="453" t="s">
        <v>312</v>
      </c>
      <c r="B77" s="449" t="s">
        <v>796</v>
      </c>
      <c r="C77" s="450" t="s">
        <v>4690</v>
      </c>
      <c r="D77" s="491">
        <f>SUMIF('pdc2019'!$G$8:$G$1169,'CE MINISTERIALE 2019'!$B77,'pdc2019'!$Q$8:$Q$1169)</f>
        <v>0</v>
      </c>
      <c r="E77" s="422"/>
      <c r="G77" s="441"/>
      <c r="H77" s="441"/>
      <c r="J77" s="435"/>
      <c r="L77" s="441"/>
    </row>
    <row r="78" spans="1:12" s="423" customFormat="1" ht="24.95" customHeight="1">
      <c r="A78" s="453" t="s">
        <v>312</v>
      </c>
      <c r="B78" s="449" t="s">
        <v>797</v>
      </c>
      <c r="C78" s="450" t="s">
        <v>4691</v>
      </c>
      <c r="D78" s="491">
        <f>SUMIF('pdc2019'!$G$8:$G$1169,'CE MINISTERIALE 2019'!$B78,'pdc2019'!$Q$8:$Q$1169)</f>
        <v>0</v>
      </c>
      <c r="E78" s="422"/>
      <c r="G78" s="441"/>
      <c r="H78" s="441"/>
      <c r="J78" s="435"/>
      <c r="L78" s="441"/>
    </row>
    <row r="79" spans="1:12" s="423" customFormat="1" ht="24.95" customHeight="1">
      <c r="A79" s="453" t="s">
        <v>312</v>
      </c>
      <c r="B79" s="449" t="s">
        <v>4692</v>
      </c>
      <c r="C79" s="450" t="s">
        <v>4693</v>
      </c>
      <c r="D79" s="491">
        <f>SUMIF('pdc2019'!$G$8:$G$1169,'CE MINISTERIALE 2019'!$B79,'pdc2019'!$Q$8:$Q$1169)</f>
        <v>0</v>
      </c>
      <c r="E79" s="422"/>
      <c r="G79" s="441"/>
      <c r="H79" s="441"/>
      <c r="J79" s="435"/>
      <c r="L79" s="441"/>
    </row>
    <row r="80" spans="1:12" s="423" customFormat="1" ht="24.95" customHeight="1">
      <c r="A80" s="453" t="s">
        <v>312</v>
      </c>
      <c r="B80" s="449" t="s">
        <v>4694</v>
      </c>
      <c r="C80" s="450" t="s">
        <v>4695</v>
      </c>
      <c r="D80" s="491">
        <f>SUMIF('pdc2019'!$G$8:$G$1169,'CE MINISTERIALE 2019'!$B80,'pdc2019'!$Q$8:$Q$1169)</f>
        <v>0</v>
      </c>
      <c r="E80" s="422"/>
      <c r="F80" s="664"/>
      <c r="G80" s="441"/>
      <c r="H80" s="441"/>
      <c r="J80" s="435"/>
      <c r="L80" s="441"/>
    </row>
    <row r="81" spans="1:12" s="423" customFormat="1" ht="24.95" customHeight="1">
      <c r="A81" s="456" t="s">
        <v>312</v>
      </c>
      <c r="B81" s="449" t="s">
        <v>4696</v>
      </c>
      <c r="C81" s="450" t="s">
        <v>4697</v>
      </c>
      <c r="D81" s="491">
        <f>SUMIF('pdc2019'!$G$8:$G$1169,'CE MINISTERIALE 2019'!$B81,'pdc2019'!$Q$8:$Q$1169)</f>
        <v>0</v>
      </c>
      <c r="E81" s="422"/>
      <c r="F81" s="664"/>
      <c r="G81" s="441"/>
      <c r="H81" s="441"/>
      <c r="J81" s="435"/>
      <c r="L81" s="441"/>
    </row>
    <row r="82" spans="1:12" s="448" customFormat="1" ht="24.95" customHeight="1">
      <c r="A82" s="456" t="s">
        <v>312</v>
      </c>
      <c r="B82" s="449" t="s">
        <v>4698</v>
      </c>
      <c r="C82" s="450" t="s">
        <v>4699</v>
      </c>
      <c r="D82" s="491">
        <f>SUMIF('pdc2019'!$G$8:$G$1169,'CE MINISTERIALE 2019'!$B82,'pdc2019'!$Q$8:$Q$1169)</f>
        <v>0</v>
      </c>
      <c r="E82" s="422"/>
      <c r="F82" s="664"/>
      <c r="G82" s="441"/>
      <c r="H82" s="441"/>
      <c r="J82" s="435"/>
      <c r="L82" s="441"/>
    </row>
    <row r="83" spans="1:12" s="423" customFormat="1" ht="24.95" customHeight="1">
      <c r="A83" s="456" t="s">
        <v>312</v>
      </c>
      <c r="B83" s="449" t="s">
        <v>4700</v>
      </c>
      <c r="C83" s="450" t="s">
        <v>4701</v>
      </c>
      <c r="D83" s="491">
        <f>SUMIF('pdc2019'!$G$8:$G$1169,'CE MINISTERIALE 2019'!$B83,'pdc2019'!$Q$8:$Q$1169)</f>
        <v>0</v>
      </c>
      <c r="E83" s="422"/>
      <c r="F83" s="664"/>
      <c r="G83" s="441"/>
      <c r="H83" s="441"/>
      <c r="J83" s="435"/>
      <c r="L83" s="441"/>
    </row>
    <row r="84" spans="1:12" s="423" customFormat="1" ht="24.95" customHeight="1">
      <c r="A84" s="456" t="s">
        <v>312</v>
      </c>
      <c r="B84" s="449" t="s">
        <v>798</v>
      </c>
      <c r="C84" s="450" t="s">
        <v>4702</v>
      </c>
      <c r="D84" s="491">
        <f>SUMIF('pdc2019'!$G$8:$G$1169,'CE MINISTERIALE 2019'!$B84,'pdc2019'!$Q$8:$Q$1169)</f>
        <v>0</v>
      </c>
      <c r="E84" s="422"/>
      <c r="F84" s="664"/>
      <c r="G84" s="441"/>
      <c r="H84" s="441"/>
      <c r="J84" s="435"/>
      <c r="L84" s="441"/>
    </row>
    <row r="85" spans="1:12" s="448" customFormat="1" ht="42.75" customHeight="1">
      <c r="A85" s="456"/>
      <c r="B85" s="446" t="s">
        <v>799</v>
      </c>
      <c r="C85" s="447" t="s">
        <v>4703</v>
      </c>
      <c r="D85" s="491">
        <f>SUMIF('pdc2019'!$G$8:$G$1169,'CE MINISTERIALE 2019'!$B85,'pdc2019'!$Q$8:$Q$1169)</f>
        <v>308000</v>
      </c>
      <c r="E85" s="422"/>
      <c r="F85" s="423"/>
      <c r="G85" s="441"/>
      <c r="H85" s="441"/>
      <c r="J85" s="435"/>
      <c r="L85" s="441"/>
    </row>
    <row r="86" spans="1:12" s="448" customFormat="1" ht="24.95" customHeight="1">
      <c r="A86" s="456"/>
      <c r="B86" s="446" t="s">
        <v>800</v>
      </c>
      <c r="C86" s="447" t="s">
        <v>4704</v>
      </c>
      <c r="D86" s="438">
        <f>SUM(D87:D101,D104,D105,D106)</f>
        <v>45910000</v>
      </c>
      <c r="E86" s="422"/>
      <c r="F86" s="440"/>
      <c r="G86" s="441"/>
      <c r="H86" s="441"/>
      <c r="J86" s="435"/>
      <c r="L86" s="441"/>
    </row>
    <row r="87" spans="1:12" s="448" customFormat="1" ht="24.95" customHeight="1">
      <c r="A87" s="456" t="s">
        <v>1589</v>
      </c>
      <c r="B87" s="449" t="s">
        <v>1590</v>
      </c>
      <c r="C87" s="450" t="s">
        <v>1591</v>
      </c>
      <c r="D87" s="491">
        <f>SUMIF('pdc2019'!$G$8:$G$1169,'CE MINISTERIALE 2019'!$B87,'pdc2019'!$Q$8:$Q$1169)</f>
        <v>15473000</v>
      </c>
      <c r="E87" s="422"/>
      <c r="F87" s="423"/>
      <c r="G87" s="441"/>
      <c r="H87" s="441"/>
      <c r="J87" s="435"/>
      <c r="L87" s="441"/>
    </row>
    <row r="88" spans="1:12" s="448" customFormat="1" ht="24.95" customHeight="1">
      <c r="A88" s="456" t="s">
        <v>1589</v>
      </c>
      <c r="B88" s="449" t="s">
        <v>1592</v>
      </c>
      <c r="C88" s="450" t="s">
        <v>1593</v>
      </c>
      <c r="D88" s="491">
        <f>SUMIF('pdc2019'!$G$8:$G$1169,'CE MINISTERIALE 2019'!$B88,'pdc2019'!$Q$8:$Q$1169)</f>
        <v>4199000</v>
      </c>
      <c r="E88" s="422"/>
      <c r="F88" s="423"/>
      <c r="G88" s="441"/>
      <c r="H88" s="441"/>
      <c r="J88" s="435"/>
      <c r="L88" s="441"/>
    </row>
    <row r="89" spans="1:12" s="423" customFormat="1" ht="24.95" customHeight="1">
      <c r="A89" s="456" t="s">
        <v>1589</v>
      </c>
      <c r="B89" s="449" t="s">
        <v>4705</v>
      </c>
      <c r="C89" s="450" t="s">
        <v>4706</v>
      </c>
      <c r="D89" s="491">
        <f>SUMIF('pdc2019'!$G$8:$G$1169,'CE MINISTERIALE 2019'!$B89,'pdc2019'!$Q$8:$Q$1169)</f>
        <v>0</v>
      </c>
      <c r="E89" s="422"/>
      <c r="G89" s="441"/>
      <c r="H89" s="441"/>
      <c r="J89" s="435"/>
      <c r="L89" s="441"/>
    </row>
    <row r="90" spans="1:12" s="423" customFormat="1" ht="24.95" customHeight="1">
      <c r="A90" s="453" t="s">
        <v>1594</v>
      </c>
      <c r="B90" s="449" t="s">
        <v>1595</v>
      </c>
      <c r="C90" s="450" t="s">
        <v>4707</v>
      </c>
      <c r="D90" s="491">
        <f>SUMIF('pdc2019'!$G$8:$G$1169,'CE MINISTERIALE 2019'!$B90,'pdc2019'!$Q$8:$Q$1169)</f>
        <v>0</v>
      </c>
      <c r="E90" s="422"/>
      <c r="G90" s="441"/>
      <c r="H90" s="441"/>
      <c r="J90" s="435"/>
      <c r="L90" s="441"/>
    </row>
    <row r="91" spans="1:12" s="448" customFormat="1" ht="24.95" customHeight="1">
      <c r="A91" s="453" t="s">
        <v>1589</v>
      </c>
      <c r="B91" s="449" t="s">
        <v>1596</v>
      </c>
      <c r="C91" s="450" t="s">
        <v>4708</v>
      </c>
      <c r="D91" s="491">
        <f>SUMIF('pdc2019'!$G$8:$G$1169,'CE MINISTERIALE 2019'!$B91,'pdc2019'!$Q$8:$Q$1169)</f>
        <v>2542000</v>
      </c>
      <c r="E91" s="422"/>
      <c r="F91" s="423"/>
      <c r="G91" s="441"/>
      <c r="H91" s="441"/>
      <c r="J91" s="435"/>
      <c r="L91" s="441"/>
    </row>
    <row r="92" spans="1:12" s="423" customFormat="1" ht="24.95" customHeight="1">
      <c r="A92" s="453" t="s">
        <v>1589</v>
      </c>
      <c r="B92" s="449" t="s">
        <v>1597</v>
      </c>
      <c r="C92" s="450" t="s">
        <v>4709</v>
      </c>
      <c r="D92" s="491">
        <f>SUMIF('pdc2019'!$G$8:$G$1169,'CE MINISTERIALE 2019'!$B92,'pdc2019'!$Q$8:$Q$1169)</f>
        <v>117000</v>
      </c>
      <c r="E92" s="422"/>
      <c r="G92" s="441"/>
      <c r="H92" s="441"/>
      <c r="J92" s="435"/>
      <c r="L92" s="441"/>
    </row>
    <row r="93" spans="1:12" s="423" customFormat="1" ht="24.95" customHeight="1">
      <c r="A93" s="453" t="s">
        <v>1589</v>
      </c>
      <c r="B93" s="449" t="s">
        <v>1598</v>
      </c>
      <c r="C93" s="450" t="s">
        <v>4710</v>
      </c>
      <c r="D93" s="491">
        <f>SUMIF('pdc2019'!$G$8:$G$1169,'CE MINISTERIALE 2019'!$B93,'pdc2019'!$Q$8:$Q$1169)</f>
        <v>544000</v>
      </c>
      <c r="E93" s="422"/>
      <c r="G93" s="441"/>
      <c r="H93" s="441"/>
      <c r="J93" s="435"/>
      <c r="L93" s="441"/>
    </row>
    <row r="94" spans="1:12" s="423" customFormat="1" ht="24.95" customHeight="1">
      <c r="A94" s="453" t="s">
        <v>1589</v>
      </c>
      <c r="B94" s="449" t="s">
        <v>1599</v>
      </c>
      <c r="C94" s="450" t="s">
        <v>4711</v>
      </c>
      <c r="D94" s="491">
        <f>SUMIF('pdc2019'!$G$8:$G$1169,'CE MINISTERIALE 2019'!$B94,'pdc2019'!$Q$8:$Q$1169)</f>
        <v>8000</v>
      </c>
      <c r="E94" s="422"/>
      <c r="G94" s="441"/>
      <c r="H94" s="441"/>
      <c r="J94" s="435"/>
      <c r="L94" s="441"/>
    </row>
    <row r="95" spans="1:12" s="423" customFormat="1" ht="24.95" customHeight="1">
      <c r="A95" s="453" t="s">
        <v>1589</v>
      </c>
      <c r="B95" s="449" t="s">
        <v>1600</v>
      </c>
      <c r="C95" s="450" t="s">
        <v>4712</v>
      </c>
      <c r="D95" s="491">
        <f>SUMIF('pdc2019'!$G$8:$G$1169,'CE MINISTERIALE 2019'!$B95,'pdc2019'!$Q$8:$Q$1169)</f>
        <v>5908000</v>
      </c>
      <c r="E95" s="422"/>
      <c r="G95" s="441"/>
      <c r="H95" s="441"/>
      <c r="J95" s="435"/>
      <c r="L95" s="441"/>
    </row>
    <row r="96" spans="1:12" s="423" customFormat="1" ht="24.95" customHeight="1">
      <c r="A96" s="453" t="s">
        <v>1594</v>
      </c>
      <c r="B96" s="449" t="s">
        <v>4713</v>
      </c>
      <c r="C96" s="450" t="s">
        <v>4714</v>
      </c>
      <c r="D96" s="491">
        <f>SUMIF('pdc2019'!$G$8:$G$1169,'CE MINISTERIALE 2019'!$B96,'pdc2019'!$Q$8:$Q$1169)</f>
        <v>0</v>
      </c>
      <c r="E96" s="422"/>
      <c r="G96" s="441"/>
      <c r="H96" s="441"/>
      <c r="J96" s="435"/>
      <c r="L96" s="441"/>
    </row>
    <row r="97" spans="1:12" s="423" customFormat="1" ht="24.95" customHeight="1">
      <c r="A97" s="453" t="s">
        <v>1594</v>
      </c>
      <c r="B97" s="449" t="s">
        <v>4715</v>
      </c>
      <c r="C97" s="450" t="s">
        <v>4716</v>
      </c>
      <c r="D97" s="491">
        <f>SUMIF('pdc2019'!$G$8:$G$1169,'CE MINISTERIALE 2019'!$B97,'pdc2019'!$Q$8:$Q$1169)</f>
        <v>0</v>
      </c>
      <c r="E97" s="422"/>
      <c r="G97" s="441"/>
      <c r="H97" s="441"/>
      <c r="J97" s="435"/>
      <c r="L97" s="441"/>
    </row>
    <row r="98" spans="1:12" s="423" customFormat="1" ht="24.95" customHeight="1">
      <c r="A98" s="453" t="s">
        <v>1589</v>
      </c>
      <c r="B98" s="449" t="s">
        <v>1601</v>
      </c>
      <c r="C98" s="450" t="s">
        <v>4717</v>
      </c>
      <c r="D98" s="491">
        <f>SUMIF('pdc2019'!$G$8:$G$1169,'CE MINISTERIALE 2019'!$B98,'pdc2019'!$Q$8:$Q$1169)</f>
        <v>0</v>
      </c>
      <c r="E98" s="422"/>
      <c r="G98" s="441"/>
      <c r="H98" s="441"/>
      <c r="J98" s="435"/>
      <c r="L98" s="441"/>
    </row>
    <row r="99" spans="1:12" s="423" customFormat="1" ht="24.95" customHeight="1">
      <c r="A99" s="453" t="s">
        <v>1589</v>
      </c>
      <c r="B99" s="449" t="s">
        <v>1602</v>
      </c>
      <c r="C99" s="450" t="s">
        <v>4718</v>
      </c>
      <c r="D99" s="491">
        <f>SUMIF('pdc2019'!$G$8:$G$1169,'CE MINISTERIALE 2019'!$B99,'pdc2019'!$Q$8:$Q$1169)</f>
        <v>0</v>
      </c>
      <c r="E99" s="422"/>
      <c r="G99" s="441"/>
      <c r="H99" s="441"/>
      <c r="J99" s="435"/>
      <c r="L99" s="441"/>
    </row>
    <row r="100" spans="1:12" s="423" customFormat="1" ht="24.95" customHeight="1">
      <c r="A100" s="453" t="s">
        <v>1589</v>
      </c>
      <c r="B100" s="449" t="s">
        <v>4719</v>
      </c>
      <c r="C100" s="450" t="s">
        <v>4720</v>
      </c>
      <c r="D100" s="491">
        <f>SUMIF('pdc2019'!$G$8:$G$1169,'CE MINISTERIALE 2019'!$B100,'pdc2019'!$Q$8:$Q$1169)</f>
        <v>814000</v>
      </c>
      <c r="E100" s="422"/>
      <c r="G100" s="441"/>
      <c r="H100" s="441"/>
      <c r="J100" s="435"/>
      <c r="L100" s="441"/>
    </row>
    <row r="101" spans="1:12" s="455" customFormat="1" ht="24.95" customHeight="1">
      <c r="A101" s="453" t="s">
        <v>1594</v>
      </c>
      <c r="B101" s="449" t="s">
        <v>1603</v>
      </c>
      <c r="C101" s="450" t="s">
        <v>4721</v>
      </c>
      <c r="D101" s="438">
        <f>+D102+D103</f>
        <v>598000</v>
      </c>
      <c r="E101" s="454"/>
      <c r="F101" s="440"/>
      <c r="G101" s="441"/>
      <c r="H101" s="441"/>
      <c r="J101" s="435"/>
      <c r="L101" s="441"/>
    </row>
    <row r="102" spans="1:12" s="455" customFormat="1" ht="24.95" customHeight="1">
      <c r="A102" s="453" t="s">
        <v>1594</v>
      </c>
      <c r="B102" s="446" t="s">
        <v>1604</v>
      </c>
      <c r="C102" s="447" t="s">
        <v>4722</v>
      </c>
      <c r="D102" s="491">
        <f>SUMIF('pdc2019'!$G$8:$G$1169,'CE MINISTERIALE 2019'!$B102,'pdc2019'!$Q$8:$Q$1169)</f>
        <v>0</v>
      </c>
      <c r="E102" s="454"/>
      <c r="G102" s="441"/>
      <c r="H102" s="441"/>
      <c r="J102" s="435"/>
      <c r="L102" s="441"/>
    </row>
    <row r="103" spans="1:12" s="423" customFormat="1" ht="24.95" customHeight="1">
      <c r="A103" s="453" t="s">
        <v>1594</v>
      </c>
      <c r="B103" s="446" t="s">
        <v>1605</v>
      </c>
      <c r="C103" s="447" t="s">
        <v>4723</v>
      </c>
      <c r="D103" s="491">
        <f>SUMIF('pdc2019'!$G$8:$G$1169,'CE MINISTERIALE 2019'!$B103,'pdc2019'!$Q$8:$Q$1169)</f>
        <v>598000</v>
      </c>
      <c r="E103" s="422"/>
      <c r="G103" s="441"/>
      <c r="H103" s="441"/>
      <c r="J103" s="435"/>
      <c r="L103" s="441"/>
    </row>
    <row r="104" spans="1:12" s="422" customFormat="1" ht="24.95" customHeight="1">
      <c r="A104" s="453"/>
      <c r="B104" s="449" t="s">
        <v>677</v>
      </c>
      <c r="C104" s="450" t="s">
        <v>4724</v>
      </c>
      <c r="D104" s="491">
        <f>SUMIF('pdc2019'!$G$8:$G$1169,'CE MINISTERIALE 2019'!$B104,'pdc2019'!$Q$8:$Q$1169)</f>
        <v>15707000</v>
      </c>
      <c r="G104" s="441"/>
      <c r="H104" s="441"/>
      <c r="J104" s="435"/>
      <c r="L104" s="441"/>
    </row>
    <row r="105" spans="1:12" s="422" customFormat="1" ht="24.95" customHeight="1">
      <c r="A105" s="456" t="s">
        <v>312</v>
      </c>
      <c r="B105" s="449" t="s">
        <v>4725</v>
      </c>
      <c r="C105" s="450" t="s">
        <v>4726</v>
      </c>
      <c r="D105" s="491">
        <f>SUMIF('pdc2019'!$G$8:$G$1169,'CE MINISTERIALE 2019'!$B105,'pdc2019'!$Q$8:$Q$1169)</f>
        <v>0</v>
      </c>
      <c r="G105" s="441"/>
      <c r="H105" s="441"/>
      <c r="J105" s="435"/>
      <c r="L105" s="441"/>
    </row>
    <row r="106" spans="1:12" s="422" customFormat="1" ht="24.95" customHeight="1">
      <c r="A106" s="456" t="s">
        <v>1594</v>
      </c>
      <c r="B106" s="449" t="s">
        <v>4727</v>
      </c>
      <c r="C106" s="450" t="s">
        <v>4728</v>
      </c>
      <c r="D106" s="491">
        <f>SUMIF('pdc2019'!$G$8:$G$1169,'CE MINISTERIALE 2019'!$B106,'pdc2019'!$Q$8:$Q$1169)</f>
        <v>0</v>
      </c>
      <c r="G106" s="441"/>
      <c r="H106" s="441"/>
      <c r="J106" s="435"/>
      <c r="L106" s="441"/>
    </row>
    <row r="107" spans="1:12" s="448" customFormat="1" ht="24.95" customHeight="1">
      <c r="A107" s="677" t="s">
        <v>1589</v>
      </c>
      <c r="B107" s="442" t="s">
        <v>678</v>
      </c>
      <c r="C107" s="443" t="s">
        <v>679</v>
      </c>
      <c r="D107" s="438">
        <f>SUM(D108:D112)</f>
        <v>0</v>
      </c>
      <c r="E107" s="422"/>
      <c r="F107" s="440"/>
      <c r="G107" s="441"/>
      <c r="H107" s="441"/>
      <c r="J107" s="435"/>
      <c r="L107" s="441"/>
    </row>
    <row r="108" spans="1:12" s="423" customFormat="1" ht="24.95" customHeight="1">
      <c r="A108" s="453" t="s">
        <v>1589</v>
      </c>
      <c r="B108" s="449" t="s">
        <v>680</v>
      </c>
      <c r="C108" s="450" t="s">
        <v>681</v>
      </c>
      <c r="D108" s="491">
        <f>SUMIF('pdc2019'!$G$8:$G$1169,'CE MINISTERIALE 2019'!$B108,'pdc2019'!$Q$8:$Q$1169)</f>
        <v>0</v>
      </c>
      <c r="E108" s="422"/>
      <c r="G108" s="441"/>
      <c r="H108" s="441"/>
      <c r="J108" s="435"/>
      <c r="L108" s="441"/>
    </row>
    <row r="109" spans="1:12" s="423" customFormat="1" ht="24.95" customHeight="1">
      <c r="A109" s="453" t="s">
        <v>1589</v>
      </c>
      <c r="B109" s="446" t="s">
        <v>682</v>
      </c>
      <c r="C109" s="447" t="s">
        <v>683</v>
      </c>
      <c r="D109" s="491">
        <f>SUMIF('pdc2019'!$G$8:$G$1169,'CE MINISTERIALE 2019'!$B109,'pdc2019'!$Q$8:$Q$1169)</f>
        <v>0</v>
      </c>
      <c r="E109" s="422"/>
      <c r="G109" s="441"/>
      <c r="H109" s="441"/>
      <c r="J109" s="435"/>
      <c r="L109" s="441"/>
    </row>
    <row r="110" spans="1:12" s="423" customFormat="1" ht="24.95" customHeight="1">
      <c r="A110" s="453" t="s">
        <v>1589</v>
      </c>
      <c r="B110" s="446" t="s">
        <v>4729</v>
      </c>
      <c r="C110" s="447" t="s">
        <v>4730</v>
      </c>
      <c r="D110" s="491">
        <f>SUMIF('pdc2019'!$G$8:$G$1169,'CE MINISTERIALE 2019'!$B110,'pdc2019'!$Q$8:$Q$1169)</f>
        <v>0</v>
      </c>
      <c r="E110" s="422"/>
      <c r="G110" s="441"/>
      <c r="H110" s="441"/>
      <c r="J110" s="435"/>
      <c r="L110" s="441"/>
    </row>
    <row r="111" spans="1:12" s="423" customFormat="1" ht="24.95" customHeight="1">
      <c r="A111" s="456" t="s">
        <v>1589</v>
      </c>
      <c r="B111" s="446" t="s">
        <v>684</v>
      </c>
      <c r="C111" s="447" t="s">
        <v>4731</v>
      </c>
      <c r="D111" s="491">
        <f>SUMIF('pdc2019'!$G$8:$G$1169,'CE MINISTERIALE 2019'!$B111,'pdc2019'!$Q$8:$Q$1169)</f>
        <v>0</v>
      </c>
      <c r="E111" s="422"/>
      <c r="G111" s="441"/>
      <c r="H111" s="441"/>
      <c r="J111" s="435"/>
      <c r="L111" s="441"/>
    </row>
    <row r="112" spans="1:12" s="423" customFormat="1" ht="24.95" customHeight="1">
      <c r="A112" s="456" t="s">
        <v>1589</v>
      </c>
      <c r="B112" s="446" t="s">
        <v>685</v>
      </c>
      <c r="C112" s="447" t="s">
        <v>4732</v>
      </c>
      <c r="D112" s="491">
        <f>SUMIF('pdc2019'!$G$8:$G$1169,'CE MINISTERIALE 2019'!$B112,'pdc2019'!$Q$8:$Q$1169)</f>
        <v>0</v>
      </c>
      <c r="E112" s="422"/>
      <c r="G112" s="441"/>
      <c r="H112" s="441"/>
      <c r="J112" s="435"/>
      <c r="L112" s="441"/>
    </row>
    <row r="113" spans="1:12" s="448" customFormat="1" ht="24.95" customHeight="1">
      <c r="A113" s="456"/>
      <c r="B113" s="442" t="s">
        <v>350</v>
      </c>
      <c r="C113" s="443" t="s">
        <v>351</v>
      </c>
      <c r="D113" s="491">
        <f>SUMIF('pdc2019'!$G$8:$G$1169,'CE MINISTERIALE 2019'!$B113,'pdc2019'!$Q$8:$Q$1169)</f>
        <v>14145000</v>
      </c>
      <c r="E113" s="422"/>
      <c r="F113" s="423"/>
      <c r="G113" s="441"/>
      <c r="H113" s="441"/>
      <c r="J113" s="435"/>
      <c r="L113" s="441"/>
    </row>
    <row r="114" spans="1:12" s="448" customFormat="1" ht="24.95" customHeight="1">
      <c r="A114" s="456"/>
      <c r="B114" s="442" t="s">
        <v>352</v>
      </c>
      <c r="C114" s="443" t="s">
        <v>353</v>
      </c>
      <c r="D114" s="438">
        <f>SUM(D115:D121)</f>
        <v>3455000</v>
      </c>
      <c r="E114" s="422"/>
      <c r="F114" s="440"/>
      <c r="G114" s="441"/>
      <c r="H114" s="441"/>
      <c r="J114" s="435"/>
      <c r="L114" s="441"/>
    </row>
    <row r="115" spans="1:12" s="448" customFormat="1" ht="24.95" customHeight="1">
      <c r="A115" s="456"/>
      <c r="B115" s="446" t="s">
        <v>354</v>
      </c>
      <c r="C115" s="447" t="s">
        <v>355</v>
      </c>
      <c r="D115" s="491">
        <f>SUMIF('pdc2019'!$G$8:$G$1169,'CE MINISTERIALE 2019'!$B115,'pdc2019'!$Q$8:$Q$1169)</f>
        <v>0</v>
      </c>
      <c r="E115" s="422"/>
      <c r="F115" s="423"/>
      <c r="G115" s="441"/>
      <c r="H115" s="441"/>
      <c r="J115" s="435"/>
      <c r="L115" s="441"/>
    </row>
    <row r="116" spans="1:12" s="448" customFormat="1" ht="24.95" customHeight="1">
      <c r="A116" s="456"/>
      <c r="B116" s="446" t="s">
        <v>356</v>
      </c>
      <c r="C116" s="447" t="s">
        <v>357</v>
      </c>
      <c r="D116" s="491">
        <f>SUMIF('pdc2019'!$G$8:$G$1169,'CE MINISTERIALE 2019'!$B116,'pdc2019'!$Q$8:$Q$1169)</f>
        <v>2680000</v>
      </c>
      <c r="E116" s="422"/>
      <c r="F116" s="423"/>
      <c r="G116" s="441"/>
      <c r="H116" s="441"/>
      <c r="J116" s="435"/>
      <c r="L116" s="441"/>
    </row>
    <row r="117" spans="1:12" s="448" customFormat="1" ht="24.95" customHeight="1">
      <c r="A117" s="456"/>
      <c r="B117" s="446" t="s">
        <v>358</v>
      </c>
      <c r="C117" s="447" t="s">
        <v>359</v>
      </c>
      <c r="D117" s="491">
        <f>SUMIF('pdc2019'!$G$8:$G$1169,'CE MINISTERIALE 2019'!$B117,'pdc2019'!$Q$8:$Q$1169)</f>
        <v>0</v>
      </c>
      <c r="E117" s="422"/>
      <c r="F117" s="423"/>
      <c r="G117" s="441"/>
      <c r="H117" s="441"/>
      <c r="J117" s="435"/>
      <c r="L117" s="441"/>
    </row>
    <row r="118" spans="1:12" s="448" customFormat="1" ht="24.95" customHeight="1">
      <c r="A118" s="456"/>
      <c r="B118" s="446" t="s">
        <v>360</v>
      </c>
      <c r="C118" s="447" t="s">
        <v>361</v>
      </c>
      <c r="D118" s="491">
        <f>SUMIF('pdc2019'!$G$8:$G$1169,'CE MINISTERIALE 2019'!$B118,'pdc2019'!$Q$8:$Q$1169)</f>
        <v>340000</v>
      </c>
      <c r="E118" s="422"/>
      <c r="F118" s="423"/>
      <c r="G118" s="441"/>
      <c r="H118" s="441"/>
      <c r="J118" s="435"/>
      <c r="L118" s="441"/>
    </row>
    <row r="119" spans="1:12" s="448" customFormat="1" ht="24.95" customHeight="1">
      <c r="A119" s="456" t="s">
        <v>312</v>
      </c>
      <c r="B119" s="446" t="s">
        <v>362</v>
      </c>
      <c r="C119" s="447" t="s">
        <v>363</v>
      </c>
      <c r="D119" s="491">
        <f>SUMIF('pdc2019'!$G$8:$G$1169,'CE MINISTERIALE 2019'!$B119,'pdc2019'!$Q$8:$Q$1169)</f>
        <v>0</v>
      </c>
      <c r="E119" s="422"/>
      <c r="F119" s="423"/>
      <c r="G119" s="441"/>
      <c r="H119" s="441"/>
      <c r="J119" s="435"/>
      <c r="L119" s="441"/>
    </row>
    <row r="120" spans="1:12" s="448" customFormat="1" ht="24.95" customHeight="1">
      <c r="A120" s="456"/>
      <c r="B120" s="446" t="s">
        <v>364</v>
      </c>
      <c r="C120" s="447" t="s">
        <v>365</v>
      </c>
      <c r="D120" s="491">
        <f>SUMIF('pdc2019'!$G$8:$G$1169,'CE MINISTERIALE 2019'!$B120,'pdc2019'!$Q$8:$Q$1169)</f>
        <v>435000.00000000006</v>
      </c>
      <c r="E120" s="422"/>
      <c r="F120" s="423"/>
      <c r="G120" s="441"/>
      <c r="H120" s="441"/>
      <c r="J120" s="435"/>
      <c r="L120" s="441"/>
    </row>
    <row r="121" spans="1:12" s="448" customFormat="1" ht="24.95" customHeight="1">
      <c r="A121" s="456" t="s">
        <v>312</v>
      </c>
      <c r="B121" s="446" t="s">
        <v>366</v>
      </c>
      <c r="C121" s="447" t="s">
        <v>367</v>
      </c>
      <c r="D121" s="491">
        <f>SUMIF('pdc2019'!$G$8:$G$1169,'CE MINISTERIALE 2019'!$B121,'pdc2019'!$Q$8:$Q$1169)</f>
        <v>0</v>
      </c>
      <c r="E121" s="422"/>
      <c r="F121" s="423"/>
      <c r="G121" s="441"/>
      <c r="H121" s="441"/>
      <c r="J121" s="435"/>
      <c r="L121" s="441"/>
    </row>
    <row r="122" spans="1:12" s="448" customFormat="1" ht="24.95" customHeight="1">
      <c r="A122" s="678"/>
      <c r="B122" s="436" t="s">
        <v>368</v>
      </c>
      <c r="C122" s="437" t="s">
        <v>369</v>
      </c>
      <c r="D122" s="438">
        <f>+D123+D124+D127+D132+D136</f>
        <v>18485000</v>
      </c>
      <c r="E122" s="422"/>
      <c r="F122" s="440"/>
      <c r="G122" s="441"/>
      <c r="H122" s="441"/>
      <c r="J122" s="435"/>
      <c r="L122" s="441"/>
    </row>
    <row r="123" spans="1:12" s="448" customFormat="1" ht="24.95" customHeight="1">
      <c r="A123" s="678"/>
      <c r="B123" s="442" t="s">
        <v>370</v>
      </c>
      <c r="C123" s="443" t="s">
        <v>371</v>
      </c>
      <c r="D123" s="491">
        <f>SUMIF('pdc2019'!$G$8:$G$1169,'CE MINISTERIALE 2019'!$B123,'pdc2019'!$Q$8:$Q$1169)</f>
        <v>30000</v>
      </c>
      <c r="E123" s="422"/>
      <c r="F123" s="423"/>
      <c r="G123" s="441"/>
      <c r="H123" s="441"/>
      <c r="J123" s="435"/>
      <c r="L123" s="441"/>
    </row>
    <row r="124" spans="1:12" s="448" customFormat="1" ht="24.95" customHeight="1">
      <c r="A124" s="679"/>
      <c r="B124" s="442" t="s">
        <v>372</v>
      </c>
      <c r="C124" s="443" t="s">
        <v>373</v>
      </c>
      <c r="D124" s="438">
        <f>+D125+D126</f>
        <v>3000000</v>
      </c>
      <c r="E124" s="422"/>
      <c r="F124" s="440"/>
      <c r="G124" s="441"/>
      <c r="H124" s="441"/>
      <c r="J124" s="435"/>
      <c r="L124" s="441"/>
    </row>
    <row r="125" spans="1:12" s="448" customFormat="1" ht="24.95" customHeight="1">
      <c r="A125" s="679"/>
      <c r="B125" s="446" t="s">
        <v>374</v>
      </c>
      <c r="C125" s="447" t="s">
        <v>375</v>
      </c>
      <c r="D125" s="491">
        <f>SUMIF('pdc2019'!$G$8:$G$1169,'CE MINISTERIALE 2019'!$B125,'pdc2019'!$Q$8:$Q$1169)</f>
        <v>1000000</v>
      </c>
      <c r="E125" s="422"/>
      <c r="F125" s="423"/>
      <c r="G125" s="441"/>
      <c r="H125" s="441"/>
      <c r="J125" s="435"/>
      <c r="L125" s="441"/>
    </row>
    <row r="126" spans="1:12" s="448" customFormat="1" ht="24.95" customHeight="1">
      <c r="A126" s="679"/>
      <c r="B126" s="446" t="s">
        <v>376</v>
      </c>
      <c r="C126" s="447" t="s">
        <v>377</v>
      </c>
      <c r="D126" s="491">
        <f>SUMIF('pdc2019'!$G$8:$G$1169,'CE MINISTERIALE 2019'!$B126,'pdc2019'!$Q$8:$Q$1169)</f>
        <v>2000000</v>
      </c>
      <c r="E126" s="422"/>
      <c r="F126" s="423"/>
      <c r="G126" s="441"/>
      <c r="H126" s="441"/>
      <c r="J126" s="435"/>
      <c r="L126" s="441"/>
    </row>
    <row r="127" spans="1:12" s="448" customFormat="1" ht="24.95" customHeight="1">
      <c r="A127" s="677" t="s">
        <v>312</v>
      </c>
      <c r="B127" s="442" t="s">
        <v>1331</v>
      </c>
      <c r="C127" s="443" t="s">
        <v>1332</v>
      </c>
      <c r="D127" s="438">
        <f>+D128+D129+D130+D131</f>
        <v>0</v>
      </c>
      <c r="E127" s="422"/>
      <c r="F127" s="440"/>
      <c r="G127" s="441"/>
      <c r="H127" s="441"/>
      <c r="J127" s="435"/>
      <c r="L127" s="441"/>
    </row>
    <row r="128" spans="1:12" s="448" customFormat="1" ht="24.95" customHeight="1">
      <c r="A128" s="456" t="s">
        <v>312</v>
      </c>
      <c r="B128" s="446" t="s">
        <v>1333</v>
      </c>
      <c r="C128" s="447" t="s">
        <v>1334</v>
      </c>
      <c r="D128" s="491">
        <f>SUMIF('pdc2019'!$G$8:$G$1169,'CE MINISTERIALE 2019'!$B128,'pdc2019'!$Q$8:$Q$1169)</f>
        <v>0</v>
      </c>
      <c r="E128" s="422"/>
      <c r="F128" s="423"/>
      <c r="G128" s="441"/>
      <c r="H128" s="441"/>
      <c r="J128" s="435"/>
      <c r="L128" s="441"/>
    </row>
    <row r="129" spans="1:12" s="448" customFormat="1" ht="24.95" customHeight="1">
      <c r="A129" s="456" t="s">
        <v>312</v>
      </c>
      <c r="B129" s="446" t="s">
        <v>380</v>
      </c>
      <c r="C129" s="447" t="s">
        <v>381</v>
      </c>
      <c r="D129" s="491">
        <f>SUMIF('pdc2019'!$G$8:$G$1169,'CE MINISTERIALE 2019'!$B129,'pdc2019'!$Q$8:$Q$1169)</f>
        <v>0</v>
      </c>
      <c r="E129" s="422"/>
      <c r="F129" s="423"/>
      <c r="G129" s="441"/>
      <c r="H129" s="441"/>
      <c r="J129" s="435"/>
      <c r="L129" s="441"/>
    </row>
    <row r="130" spans="1:12" s="448" customFormat="1" ht="24.95" customHeight="1">
      <c r="A130" s="456" t="s">
        <v>312</v>
      </c>
      <c r="B130" s="446" t="s">
        <v>382</v>
      </c>
      <c r="C130" s="447" t="s">
        <v>383</v>
      </c>
      <c r="D130" s="491">
        <f>SUMIF('pdc2019'!$G$8:$G$1169,'CE MINISTERIALE 2019'!$B130,'pdc2019'!$Q$8:$Q$1169)</f>
        <v>0</v>
      </c>
      <c r="E130" s="422"/>
      <c r="F130" s="423"/>
      <c r="G130" s="441"/>
      <c r="H130" s="441"/>
      <c r="J130" s="435"/>
      <c r="L130" s="441"/>
    </row>
    <row r="131" spans="1:12" s="457" customFormat="1" ht="24.95" customHeight="1">
      <c r="A131" s="456" t="s">
        <v>312</v>
      </c>
      <c r="B131" s="446" t="s">
        <v>4733</v>
      </c>
      <c r="C131" s="447" t="s">
        <v>4734</v>
      </c>
      <c r="D131" s="491">
        <f>SUMIF('pdc2019'!$G$8:$G$1169,'CE MINISTERIALE 2019'!$B131,'pdc2019'!$Q$8:$Q$1169)</f>
        <v>0</v>
      </c>
      <c r="E131" s="422"/>
      <c r="F131" s="422"/>
      <c r="G131" s="441"/>
      <c r="H131" s="441"/>
      <c r="J131" s="435"/>
      <c r="L131" s="441"/>
    </row>
    <row r="132" spans="1:12" s="448" customFormat="1" ht="24.95" customHeight="1">
      <c r="A132" s="456"/>
      <c r="B132" s="442" t="s">
        <v>384</v>
      </c>
      <c r="C132" s="443" t="s">
        <v>385</v>
      </c>
      <c r="D132" s="438">
        <f>+D133+D134+D135</f>
        <v>4000000</v>
      </c>
      <c r="E132" s="422"/>
      <c r="F132" s="440"/>
      <c r="G132" s="441"/>
      <c r="H132" s="441"/>
      <c r="J132" s="435"/>
      <c r="L132" s="441"/>
    </row>
    <row r="133" spans="1:12" s="448" customFormat="1" ht="24.95" customHeight="1">
      <c r="A133" s="456"/>
      <c r="B133" s="446" t="s">
        <v>386</v>
      </c>
      <c r="C133" s="447" t="s">
        <v>387</v>
      </c>
      <c r="D133" s="491">
        <f>SUMIF('pdc2019'!$G$8:$G$1169,'CE MINISTERIALE 2019'!$B133,'pdc2019'!$Q$8:$Q$1169)</f>
        <v>3300000</v>
      </c>
      <c r="E133" s="422"/>
      <c r="F133" s="423"/>
      <c r="G133" s="441"/>
      <c r="H133" s="441"/>
      <c r="J133" s="435"/>
      <c r="L133" s="441"/>
    </row>
    <row r="134" spans="1:12" s="448" customFormat="1" ht="24.95" customHeight="1">
      <c r="A134" s="456"/>
      <c r="B134" s="446" t="s">
        <v>388</v>
      </c>
      <c r="C134" s="447" t="s">
        <v>389</v>
      </c>
      <c r="D134" s="491">
        <f>SUMIF('pdc2019'!$G$8:$G$1169,'CE MINISTERIALE 2019'!$B134,'pdc2019'!$Q$8:$Q$1169)</f>
        <v>0</v>
      </c>
      <c r="E134" s="422"/>
      <c r="F134" s="423"/>
      <c r="G134" s="441"/>
      <c r="H134" s="441"/>
      <c r="J134" s="435"/>
      <c r="L134" s="441"/>
    </row>
    <row r="135" spans="1:12" s="448" customFormat="1" ht="24.95" customHeight="1">
      <c r="A135" s="456"/>
      <c r="B135" s="446" t="s">
        <v>390</v>
      </c>
      <c r="C135" s="447" t="s">
        <v>391</v>
      </c>
      <c r="D135" s="491">
        <f>SUMIF('pdc2019'!$G$8:$G$1169,'CE MINISTERIALE 2019'!$B135,'pdc2019'!$Q$8:$Q$1169)</f>
        <v>700000</v>
      </c>
      <c r="E135" s="422"/>
      <c r="F135" s="423"/>
      <c r="G135" s="441"/>
      <c r="H135" s="441"/>
      <c r="J135" s="435"/>
      <c r="L135" s="441"/>
    </row>
    <row r="136" spans="1:12" s="448" customFormat="1" ht="24.95" customHeight="1">
      <c r="A136" s="456"/>
      <c r="B136" s="442" t="s">
        <v>392</v>
      </c>
      <c r="C136" s="443" t="s">
        <v>393</v>
      </c>
      <c r="D136" s="438">
        <f>+D137+D141+D142</f>
        <v>11455000</v>
      </c>
      <c r="E136" s="422"/>
      <c r="F136" s="440"/>
      <c r="G136" s="441"/>
      <c r="H136" s="441"/>
      <c r="J136" s="435"/>
      <c r="L136" s="441"/>
    </row>
    <row r="137" spans="1:12" s="448" customFormat="1" ht="24.95" customHeight="1">
      <c r="A137" s="456"/>
      <c r="B137" s="446" t="s">
        <v>394</v>
      </c>
      <c r="C137" s="447" t="s">
        <v>395</v>
      </c>
      <c r="D137" s="438">
        <f>+D138+D139+D140</f>
        <v>3000000</v>
      </c>
      <c r="E137" s="422"/>
      <c r="F137" s="440"/>
      <c r="G137" s="441"/>
      <c r="H137" s="441"/>
      <c r="J137" s="435"/>
      <c r="L137" s="441"/>
    </row>
    <row r="138" spans="1:12" s="448" customFormat="1" ht="24.95" customHeight="1">
      <c r="A138" s="456"/>
      <c r="B138" s="449" t="s">
        <v>396</v>
      </c>
      <c r="C138" s="450" t="s">
        <v>397</v>
      </c>
      <c r="D138" s="491">
        <f>SUMIF('pdc2019'!$G$8:$G$1169,'CE MINISTERIALE 2019'!$B138,'pdc2019'!$Q$8:$Q$1169)</f>
        <v>0</v>
      </c>
      <c r="E138" s="422"/>
      <c r="F138" s="423"/>
      <c r="G138" s="441"/>
      <c r="H138" s="441"/>
      <c r="J138" s="435"/>
      <c r="L138" s="441"/>
    </row>
    <row r="139" spans="1:12" s="448" customFormat="1" ht="24.95" customHeight="1">
      <c r="A139" s="456"/>
      <c r="B139" s="449" t="s">
        <v>398</v>
      </c>
      <c r="C139" s="450" t="s">
        <v>399</v>
      </c>
      <c r="D139" s="491">
        <f>SUMIF('pdc2019'!$G$8:$G$1169,'CE MINISTERIALE 2019'!$B139,'pdc2019'!$Q$8:$Q$1169)</f>
        <v>0</v>
      </c>
      <c r="E139" s="422"/>
      <c r="F139" s="423"/>
      <c r="G139" s="441"/>
      <c r="H139" s="441"/>
      <c r="J139" s="435"/>
      <c r="L139" s="441"/>
    </row>
    <row r="140" spans="1:12" s="448" customFormat="1" ht="24.95" customHeight="1">
      <c r="A140" s="456"/>
      <c r="B140" s="449" t="s">
        <v>400</v>
      </c>
      <c r="C140" s="450" t="s">
        <v>401</v>
      </c>
      <c r="D140" s="491">
        <f>SUMIF('pdc2019'!$G$8:$G$1169,'CE MINISTERIALE 2019'!$B140,'pdc2019'!$Q$8:$Q$1169)</f>
        <v>3000000</v>
      </c>
      <c r="E140" s="422"/>
      <c r="F140" s="423"/>
      <c r="G140" s="441"/>
      <c r="H140" s="441"/>
      <c r="J140" s="435"/>
      <c r="L140" s="441"/>
    </row>
    <row r="141" spans="1:12" s="423" customFormat="1" ht="24.95" customHeight="1">
      <c r="A141" s="453"/>
      <c r="B141" s="446" t="s">
        <v>4735</v>
      </c>
      <c r="C141" s="447" t="s">
        <v>4736</v>
      </c>
      <c r="D141" s="491">
        <f>SUMIF('pdc2019'!$G$8:$G$1169,'CE MINISTERIALE 2019'!$B141,'pdc2019'!$Q$8:$Q$1169)</f>
        <v>0</v>
      </c>
      <c r="E141" s="422"/>
      <c r="G141" s="441"/>
      <c r="H141" s="441"/>
      <c r="J141" s="435"/>
      <c r="L141" s="441"/>
    </row>
    <row r="142" spans="1:12" s="423" customFormat="1" ht="24.95" customHeight="1">
      <c r="A142" s="453"/>
      <c r="B142" s="446" t="s">
        <v>402</v>
      </c>
      <c r="C142" s="447" t="s">
        <v>4737</v>
      </c>
      <c r="D142" s="491">
        <f>SUMIF('pdc2019'!$G$8:$G$1169,'CE MINISTERIALE 2019'!$B142,'pdc2019'!$Q$8:$Q$1169)</f>
        <v>8455000</v>
      </c>
      <c r="E142" s="422"/>
      <c r="G142" s="441"/>
      <c r="H142" s="441"/>
      <c r="J142" s="435"/>
      <c r="L142" s="441"/>
    </row>
    <row r="143" spans="1:12" s="423" customFormat="1" ht="24.95" customHeight="1">
      <c r="A143" s="453"/>
      <c r="B143" s="436" t="s">
        <v>403</v>
      </c>
      <c r="C143" s="437" t="s">
        <v>404</v>
      </c>
      <c r="D143" s="438">
        <f>+D144+D145+D146</f>
        <v>20300000</v>
      </c>
      <c r="E143" s="422"/>
      <c r="F143" s="440"/>
      <c r="G143" s="441"/>
      <c r="H143" s="441"/>
      <c r="J143" s="435"/>
      <c r="L143" s="441"/>
    </row>
    <row r="144" spans="1:12" s="423" customFormat="1" ht="24.95" customHeight="1">
      <c r="A144" s="453"/>
      <c r="B144" s="442" t="s">
        <v>405</v>
      </c>
      <c r="C144" s="443" t="s">
        <v>4738</v>
      </c>
      <c r="D144" s="491">
        <f>SUMIF('pdc2019'!$G$8:$G$1169,'CE MINISTERIALE 2019'!$B144,'pdc2019'!$Q$8:$Q$1169)</f>
        <v>18000000</v>
      </c>
      <c r="E144" s="422"/>
      <c r="G144" s="441"/>
      <c r="H144" s="441"/>
      <c r="J144" s="435"/>
      <c r="L144" s="441"/>
    </row>
    <row r="145" spans="1:12" s="448" customFormat="1" ht="24.95" customHeight="1">
      <c r="A145" s="456"/>
      <c r="B145" s="442" t="s">
        <v>406</v>
      </c>
      <c r="C145" s="443" t="s">
        <v>407</v>
      </c>
      <c r="D145" s="491">
        <f>SUMIF('pdc2019'!$G$8:$G$1169,'CE MINISTERIALE 2019'!$B145,'pdc2019'!$Q$8:$Q$1169)</f>
        <v>2000000</v>
      </c>
      <c r="E145" s="422"/>
      <c r="F145" s="423"/>
      <c r="G145" s="441"/>
      <c r="H145" s="441"/>
      <c r="J145" s="435"/>
      <c r="L145" s="441"/>
    </row>
    <row r="146" spans="1:12" s="448" customFormat="1" ht="24.95" customHeight="1">
      <c r="A146" s="456"/>
      <c r="B146" s="442" t="s">
        <v>408</v>
      </c>
      <c r="C146" s="443" t="s">
        <v>409</v>
      </c>
      <c r="D146" s="491">
        <f>SUMIF('pdc2019'!$G$8:$G$1169,'CE MINISTERIALE 2019'!$B146,'pdc2019'!$Q$8:$Q$1169)</f>
        <v>300000</v>
      </c>
      <c r="E146" s="422"/>
      <c r="F146" s="423"/>
      <c r="G146" s="441"/>
      <c r="H146" s="441"/>
      <c r="J146" s="435"/>
      <c r="L146" s="441"/>
    </row>
    <row r="147" spans="1:12" s="448" customFormat="1" ht="24.95" customHeight="1">
      <c r="A147" s="456"/>
      <c r="B147" s="436" t="s">
        <v>410</v>
      </c>
      <c r="C147" s="437" t="s">
        <v>411</v>
      </c>
      <c r="D147" s="438">
        <f>+D148+D149+D150+D151+D152+D153</f>
        <v>25401000</v>
      </c>
      <c r="E147" s="422"/>
      <c r="F147" s="440"/>
      <c r="G147" s="441"/>
      <c r="H147" s="441"/>
      <c r="J147" s="435"/>
      <c r="L147" s="441"/>
    </row>
    <row r="148" spans="1:12" s="448" customFormat="1" ht="24.95" customHeight="1">
      <c r="A148" s="456"/>
      <c r="B148" s="442" t="s">
        <v>412</v>
      </c>
      <c r="C148" s="443" t="s">
        <v>212</v>
      </c>
      <c r="D148" s="491">
        <f>SUMIF('pdc2019'!$G$8:$G$1169,'CE MINISTERIALE 2019'!$B148,'pdc2019'!$Q$8:$Q$1169)</f>
        <v>0</v>
      </c>
      <c r="E148" s="422"/>
      <c r="F148" s="423"/>
      <c r="G148" s="441"/>
      <c r="H148" s="441"/>
      <c r="J148" s="435"/>
      <c r="L148" s="441"/>
    </row>
    <row r="149" spans="1:12" s="448" customFormat="1" ht="24.95" customHeight="1">
      <c r="A149" s="456"/>
      <c r="B149" s="442" t="s">
        <v>213</v>
      </c>
      <c r="C149" s="443" t="s">
        <v>214</v>
      </c>
      <c r="D149" s="491">
        <f>SUMIF('pdc2019'!$G$8:$G$1169,'CE MINISTERIALE 2019'!$B149,'pdc2019'!$Q$8:$Q$1169)</f>
        <v>23562000</v>
      </c>
      <c r="E149" s="422"/>
      <c r="F149" s="423"/>
      <c r="G149" s="441"/>
      <c r="H149" s="441"/>
      <c r="J149" s="435"/>
      <c r="L149" s="441"/>
    </row>
    <row r="150" spans="1:12" s="448" customFormat="1" ht="24.95" customHeight="1">
      <c r="A150" s="456"/>
      <c r="B150" s="442" t="s">
        <v>215</v>
      </c>
      <c r="C150" s="443" t="s">
        <v>216</v>
      </c>
      <c r="D150" s="491">
        <f>SUMIF('pdc2019'!$G$8:$G$1169,'CE MINISTERIALE 2019'!$B150,'pdc2019'!$Q$8:$Q$1169)</f>
        <v>1324000</v>
      </c>
      <c r="E150" s="422"/>
      <c r="F150" s="423"/>
      <c r="G150" s="441"/>
      <c r="H150" s="441"/>
      <c r="J150" s="435"/>
      <c r="L150" s="441"/>
    </row>
    <row r="151" spans="1:12" s="448" customFormat="1" ht="24.95" customHeight="1">
      <c r="A151" s="456"/>
      <c r="B151" s="442" t="s">
        <v>217</v>
      </c>
      <c r="C151" s="443" t="s">
        <v>218</v>
      </c>
      <c r="D151" s="491">
        <f>SUMIF('pdc2019'!$G$8:$G$1169,'CE MINISTERIALE 2019'!$B151,'pdc2019'!$Q$8:$Q$1169)</f>
        <v>62000</v>
      </c>
      <c r="E151" s="422"/>
      <c r="F151" s="423"/>
      <c r="G151" s="441"/>
      <c r="H151" s="441"/>
      <c r="J151" s="435"/>
      <c r="L151" s="441"/>
    </row>
    <row r="152" spans="1:12" s="448" customFormat="1" ht="24.95" customHeight="1">
      <c r="A152" s="456"/>
      <c r="B152" s="442" t="s">
        <v>219</v>
      </c>
      <c r="C152" s="443" t="s">
        <v>220</v>
      </c>
      <c r="D152" s="491">
        <f>SUMIF('pdc2019'!$G$8:$G$1169,'CE MINISTERIALE 2019'!$B152,'pdc2019'!$Q$8:$Q$1169)</f>
        <v>12000</v>
      </c>
      <c r="E152" s="422"/>
      <c r="F152" s="423"/>
      <c r="G152" s="441"/>
      <c r="H152" s="441"/>
      <c r="J152" s="435"/>
      <c r="L152" s="441"/>
    </row>
    <row r="153" spans="1:12" s="448" customFormat="1" ht="24.95" customHeight="1">
      <c r="A153" s="456"/>
      <c r="B153" s="442" t="s">
        <v>221</v>
      </c>
      <c r="C153" s="443" t="s">
        <v>222</v>
      </c>
      <c r="D153" s="491">
        <f>SUMIF('pdc2019'!$G$8:$G$1169,'CE MINISTERIALE 2019'!$B153,'pdc2019'!$Q$8:$Q$1169)</f>
        <v>441000</v>
      </c>
      <c r="E153" s="422"/>
      <c r="F153" s="423"/>
      <c r="G153" s="441"/>
      <c r="H153" s="441"/>
      <c r="J153" s="435"/>
      <c r="L153" s="441"/>
    </row>
    <row r="154" spans="1:12" s="448" customFormat="1" ht="24.95" customHeight="1">
      <c r="A154" s="456"/>
      <c r="B154" s="436" t="s">
        <v>223</v>
      </c>
      <c r="C154" s="437" t="s">
        <v>224</v>
      </c>
      <c r="D154" s="491">
        <f>SUMIF('pdc2019'!$G$8:$G$1169,'CE MINISTERIALE 2019'!$B154,'pdc2019'!$Q$8:$Q$1169)</f>
        <v>0</v>
      </c>
      <c r="E154" s="422"/>
      <c r="F154" s="423"/>
      <c r="G154" s="441"/>
      <c r="H154" s="441"/>
      <c r="J154" s="435"/>
      <c r="L154" s="441"/>
    </row>
    <row r="155" spans="1:12" s="448" customFormat="1" ht="24.95" customHeight="1">
      <c r="A155" s="456"/>
      <c r="B155" s="436" t="s">
        <v>225</v>
      </c>
      <c r="C155" s="437" t="s">
        <v>226</v>
      </c>
      <c r="D155" s="438">
        <f>+D156+D157+D158</f>
        <v>4783600</v>
      </c>
      <c r="E155" s="422"/>
      <c r="F155" s="440"/>
      <c r="G155" s="441"/>
      <c r="H155" s="441"/>
      <c r="J155" s="435"/>
      <c r="L155" s="441"/>
    </row>
    <row r="156" spans="1:12" s="448" customFormat="1" ht="24.95" customHeight="1">
      <c r="A156" s="456"/>
      <c r="B156" s="442" t="s">
        <v>227</v>
      </c>
      <c r="C156" s="443" t="s">
        <v>228</v>
      </c>
      <c r="D156" s="491">
        <f>SUMIF('pdc2019'!$G$8:$G$1169,'CE MINISTERIALE 2019'!$B156,'pdc2019'!$Q$8:$Q$1169)</f>
        <v>278600</v>
      </c>
      <c r="E156" s="422"/>
      <c r="F156" s="423"/>
      <c r="G156" s="441"/>
      <c r="H156" s="441"/>
      <c r="J156" s="435"/>
      <c r="L156" s="441"/>
    </row>
    <row r="157" spans="1:12" s="448" customFormat="1" ht="24.95" customHeight="1">
      <c r="A157" s="456"/>
      <c r="B157" s="442" t="s">
        <v>229</v>
      </c>
      <c r="C157" s="443" t="s">
        <v>230</v>
      </c>
      <c r="D157" s="491">
        <f>SUMIF('pdc2019'!$G$8:$G$1169,'CE MINISTERIALE 2019'!$B157,'pdc2019'!$Q$8:$Q$1169)</f>
        <v>1370000</v>
      </c>
      <c r="E157" s="422"/>
      <c r="F157" s="423"/>
      <c r="G157" s="441"/>
      <c r="H157" s="441"/>
      <c r="J157" s="435"/>
      <c r="L157" s="441"/>
    </row>
    <row r="158" spans="1:12" s="448" customFormat="1" ht="24.95" customHeight="1">
      <c r="A158" s="456"/>
      <c r="B158" s="442" t="s">
        <v>231</v>
      </c>
      <c r="C158" s="443" t="s">
        <v>232</v>
      </c>
      <c r="D158" s="491">
        <f>SUMIF('pdc2019'!$G$8:$G$1169,'CE MINISTERIALE 2019'!$B158,'pdc2019'!$Q$8:$Q$1169)</f>
        <v>3135000</v>
      </c>
      <c r="E158" s="422"/>
      <c r="F158" s="423"/>
      <c r="G158" s="441"/>
      <c r="H158" s="441"/>
      <c r="J158" s="435"/>
      <c r="L158" s="441"/>
    </row>
    <row r="159" spans="1:12" s="448" customFormat="1" ht="24.95" customHeight="1">
      <c r="A159" s="456"/>
      <c r="B159" s="436" t="s">
        <v>233</v>
      </c>
      <c r="C159" s="437" t="s">
        <v>234</v>
      </c>
      <c r="D159" s="438">
        <f>+D155+D154+D147+D143+D122+D67+D61+D58+D27</f>
        <v>1385555542.5699999</v>
      </c>
      <c r="E159" s="422"/>
      <c r="F159" s="440"/>
      <c r="G159" s="441"/>
      <c r="H159" s="441"/>
      <c r="J159" s="435"/>
      <c r="L159" s="441"/>
    </row>
    <row r="160" spans="1:12" s="448" customFormat="1" ht="24.95" customHeight="1">
      <c r="A160" s="456"/>
      <c r="B160" s="449"/>
      <c r="C160" s="458" t="s">
        <v>235</v>
      </c>
      <c r="D160" s="438"/>
      <c r="E160" s="422"/>
      <c r="F160" s="423"/>
      <c r="G160" s="441"/>
      <c r="H160" s="441"/>
      <c r="J160" s="435"/>
      <c r="L160" s="441"/>
    </row>
    <row r="161" spans="1:12" s="448" customFormat="1" ht="24.95" customHeight="1">
      <c r="A161" s="456"/>
      <c r="B161" s="436" t="s">
        <v>236</v>
      </c>
      <c r="C161" s="437" t="s">
        <v>237</v>
      </c>
      <c r="D161" s="438">
        <f>+D162+D193</f>
        <v>209161042.56999999</v>
      </c>
      <c r="E161" s="422"/>
      <c r="F161" s="440"/>
      <c r="G161" s="441"/>
      <c r="H161" s="441"/>
      <c r="J161" s="435"/>
      <c r="L161" s="441"/>
    </row>
    <row r="162" spans="1:12" s="448" customFormat="1" ht="24.95" customHeight="1">
      <c r="A162" s="456"/>
      <c r="B162" s="442" t="s">
        <v>238</v>
      </c>
      <c r="C162" s="443" t="s">
        <v>1086</v>
      </c>
      <c r="D162" s="438">
        <f>+D163+D171+D175+D179+D180+D181+D182+D183+D184+D184</f>
        <v>190041042.56999999</v>
      </c>
      <c r="E162" s="422"/>
      <c r="F162" s="440"/>
      <c r="G162" s="441"/>
      <c r="H162" s="441"/>
      <c r="J162" s="435"/>
      <c r="L162" s="441"/>
    </row>
    <row r="163" spans="1:12" s="448" customFormat="1" ht="24.95" customHeight="1">
      <c r="A163" s="456"/>
      <c r="B163" s="446" t="s">
        <v>1087</v>
      </c>
      <c r="C163" s="447" t="s">
        <v>1088</v>
      </c>
      <c r="D163" s="459">
        <f>SUM(D164:D167)</f>
        <v>106031042.56999999</v>
      </c>
      <c r="E163" s="422"/>
      <c r="F163" s="440"/>
      <c r="G163" s="441"/>
      <c r="H163" s="441"/>
      <c r="J163" s="435"/>
      <c r="L163" s="441"/>
    </row>
    <row r="164" spans="1:12" s="423" customFormat="1" ht="24.95" customHeight="1">
      <c r="A164" s="453"/>
      <c r="B164" s="449" t="s">
        <v>1089</v>
      </c>
      <c r="C164" s="450" t="s">
        <v>4739</v>
      </c>
      <c r="D164" s="491">
        <f>SUMIF('pdc2019'!$G$8:$G$1169,'CE MINISTERIALE 2019'!$B164,'pdc2019'!$Q$8:$Q$1169)</f>
        <v>102675042.56999999</v>
      </c>
      <c r="E164" s="422"/>
      <c r="G164" s="441"/>
      <c r="H164" s="441"/>
      <c r="J164" s="435"/>
      <c r="L164" s="441"/>
    </row>
    <row r="165" spans="1:12" s="423" customFormat="1" ht="24.95" customHeight="1">
      <c r="A165" s="453"/>
      <c r="B165" s="449" t="s">
        <v>1091</v>
      </c>
      <c r="C165" s="450" t="s">
        <v>1092</v>
      </c>
      <c r="D165" s="491">
        <f>SUMIF('pdc2019'!$G$8:$G$1169,'CE MINISTERIALE 2019'!$B165,'pdc2019'!$Q$8:$Q$1169)</f>
        <v>1497000</v>
      </c>
      <c r="E165" s="422"/>
      <c r="G165" s="441"/>
      <c r="H165" s="441"/>
      <c r="J165" s="435"/>
      <c r="L165" s="441"/>
    </row>
    <row r="166" spans="1:12" s="423" customFormat="1" ht="24.95" customHeight="1">
      <c r="A166" s="453"/>
      <c r="B166" s="449" t="s">
        <v>4740</v>
      </c>
      <c r="C166" s="450" t="s">
        <v>4741</v>
      </c>
      <c r="D166" s="491">
        <f>SUMIF('pdc2019'!$G$8:$G$1169,'CE MINISTERIALE 2019'!$B166,'pdc2019'!$Q$8:$Q$1169)</f>
        <v>1859000</v>
      </c>
      <c r="E166" s="422"/>
      <c r="G166" s="441"/>
      <c r="H166" s="441"/>
      <c r="J166" s="435"/>
      <c r="L166" s="441"/>
    </row>
    <row r="167" spans="1:12" s="423" customFormat="1" ht="24.95" customHeight="1">
      <c r="A167" s="456"/>
      <c r="B167" s="449" t="s">
        <v>1093</v>
      </c>
      <c r="C167" s="450" t="s">
        <v>4742</v>
      </c>
      <c r="D167" s="459">
        <f>SUM(D168:D170)</f>
        <v>0</v>
      </c>
      <c r="E167" s="422"/>
      <c r="F167" s="440"/>
      <c r="G167" s="441"/>
      <c r="H167" s="441"/>
      <c r="J167" s="435"/>
      <c r="L167" s="441"/>
    </row>
    <row r="168" spans="1:12" s="422" customFormat="1" ht="24.95" customHeight="1">
      <c r="A168" s="453" t="s">
        <v>312</v>
      </c>
      <c r="B168" s="449" t="s">
        <v>4743</v>
      </c>
      <c r="C168" s="450" t="s">
        <v>4744</v>
      </c>
      <c r="D168" s="491">
        <f>SUMIF('pdc2019'!$G$8:$G$1169,'CE MINISTERIALE 2019'!$B168,'pdc2019'!$Q$8:$Q$1169)</f>
        <v>0</v>
      </c>
      <c r="G168" s="441"/>
      <c r="H168" s="441"/>
      <c r="J168" s="435"/>
      <c r="L168" s="441"/>
    </row>
    <row r="169" spans="1:12" s="422" customFormat="1" ht="24.95" customHeight="1">
      <c r="A169" s="453" t="s">
        <v>1589</v>
      </c>
      <c r="B169" s="449" t="s">
        <v>4745</v>
      </c>
      <c r="C169" s="450" t="s">
        <v>4746</v>
      </c>
      <c r="D169" s="491">
        <f>SUMIF('pdc2019'!$G$8:$G$1169,'CE MINISTERIALE 2019'!$B169,'pdc2019'!$Q$8:$Q$1169)</f>
        <v>0</v>
      </c>
      <c r="G169" s="441"/>
      <c r="H169" s="441"/>
      <c r="J169" s="435"/>
      <c r="L169" s="441"/>
    </row>
    <row r="170" spans="1:12" s="422" customFormat="1" ht="24.95" customHeight="1">
      <c r="A170" s="453"/>
      <c r="B170" s="449" t="s">
        <v>4747</v>
      </c>
      <c r="C170" s="450" t="s">
        <v>4748</v>
      </c>
      <c r="D170" s="491">
        <f>SUMIF('pdc2019'!$G$8:$G$1169,'CE MINISTERIALE 2019'!$B170,'pdc2019'!$Q$8:$Q$1169)</f>
        <v>0</v>
      </c>
      <c r="G170" s="441"/>
      <c r="H170" s="441"/>
      <c r="J170" s="435"/>
      <c r="L170" s="441"/>
    </row>
    <row r="171" spans="1:12" s="448" customFormat="1" ht="24.95" customHeight="1">
      <c r="A171" s="456"/>
      <c r="B171" s="446" t="s">
        <v>1094</v>
      </c>
      <c r="C171" s="447" t="s">
        <v>1095</v>
      </c>
      <c r="D171" s="459">
        <f>SUM(D172:D174)</f>
        <v>44000</v>
      </c>
      <c r="E171" s="422"/>
      <c r="F171" s="440"/>
      <c r="G171" s="441"/>
      <c r="H171" s="441"/>
      <c r="J171" s="435"/>
      <c r="L171" s="441"/>
    </row>
    <row r="172" spans="1:12" s="448" customFormat="1" ht="24.95" customHeight="1">
      <c r="A172" s="456" t="s">
        <v>312</v>
      </c>
      <c r="B172" s="449" t="s">
        <v>1096</v>
      </c>
      <c r="C172" s="450" t="s">
        <v>1097</v>
      </c>
      <c r="D172" s="491">
        <f>SUMIF('pdc2019'!$G$8:$G$1169,'CE MINISTERIALE 2019'!$B172,'pdc2019'!$Q$8:$Q$1169)</f>
        <v>0</v>
      </c>
      <c r="E172" s="422"/>
      <c r="F172" s="423"/>
      <c r="G172" s="441"/>
      <c r="H172" s="441"/>
      <c r="J172" s="435"/>
      <c r="L172" s="441"/>
    </row>
    <row r="173" spans="1:12" s="448" customFormat="1" ht="24.95" customHeight="1">
      <c r="A173" s="456" t="s">
        <v>1589</v>
      </c>
      <c r="B173" s="449" t="s">
        <v>1098</v>
      </c>
      <c r="C173" s="450" t="s">
        <v>1099</v>
      </c>
      <c r="D173" s="491">
        <f>SUMIF('pdc2019'!$G$8:$G$1169,'CE MINISTERIALE 2019'!$B173,'pdc2019'!$Q$8:$Q$1169)</f>
        <v>44000</v>
      </c>
      <c r="E173" s="422"/>
      <c r="F173" s="423"/>
      <c r="G173" s="441"/>
      <c r="H173" s="441"/>
      <c r="J173" s="435"/>
      <c r="L173" s="441"/>
    </row>
    <row r="174" spans="1:12" s="448" customFormat="1" ht="24.95" customHeight="1">
      <c r="A174" s="456"/>
      <c r="B174" s="449" t="s">
        <v>1100</v>
      </c>
      <c r="C174" s="450" t="s">
        <v>1101</v>
      </c>
      <c r="D174" s="491">
        <f>SUMIF('pdc2019'!$G$8:$G$1169,'CE MINISTERIALE 2019'!$B174,'pdc2019'!$Q$8:$Q$1169)</f>
        <v>0</v>
      </c>
      <c r="E174" s="422"/>
      <c r="F174" s="423"/>
      <c r="G174" s="441"/>
      <c r="H174" s="441"/>
      <c r="J174" s="435"/>
      <c r="L174" s="441"/>
    </row>
    <row r="175" spans="1:12" s="448" customFormat="1" ht="24.95" customHeight="1">
      <c r="A175" s="456"/>
      <c r="B175" s="446" t="s">
        <v>1102</v>
      </c>
      <c r="C175" s="447" t="s">
        <v>1103</v>
      </c>
      <c r="D175" s="459">
        <f>SUM(D176:D178)</f>
        <v>71005000</v>
      </c>
      <c r="E175" s="457"/>
      <c r="F175" s="441"/>
      <c r="G175" s="441"/>
      <c r="H175" s="441"/>
      <c r="J175" s="435"/>
      <c r="L175" s="441"/>
    </row>
    <row r="176" spans="1:12" s="448" customFormat="1" ht="24.95" customHeight="1">
      <c r="A176" s="456"/>
      <c r="B176" s="449" t="s">
        <v>1104</v>
      </c>
      <c r="C176" s="450" t="s">
        <v>1105</v>
      </c>
      <c r="D176" s="491">
        <f>SUMIF('pdc2019'!$G$8:$G$1169,'CE MINISTERIALE 2019'!$B176,'pdc2019'!$Q$8:$Q$1169)</f>
        <v>51774000</v>
      </c>
      <c r="E176" s="422"/>
      <c r="F176" s="423"/>
      <c r="G176" s="441"/>
      <c r="H176" s="441"/>
      <c r="J176" s="435"/>
      <c r="L176" s="441"/>
    </row>
    <row r="177" spans="1:12" s="448" customFormat="1" ht="24.95" customHeight="1">
      <c r="A177" s="456"/>
      <c r="B177" s="449" t="s">
        <v>1106</v>
      </c>
      <c r="C177" s="450" t="s">
        <v>1107</v>
      </c>
      <c r="D177" s="491">
        <f>SUMIF('pdc2019'!$G$8:$G$1169,'CE MINISTERIALE 2019'!$B177,'pdc2019'!$Q$8:$Q$1169)</f>
        <v>2699000</v>
      </c>
      <c r="E177" s="422"/>
      <c r="F177" s="423"/>
      <c r="G177" s="441"/>
      <c r="H177" s="441"/>
      <c r="J177" s="435"/>
      <c r="L177" s="441"/>
    </row>
    <row r="178" spans="1:12" s="448" customFormat="1" ht="24.95" customHeight="1">
      <c r="A178" s="456"/>
      <c r="B178" s="449" t="s">
        <v>1108</v>
      </c>
      <c r="C178" s="450" t="s">
        <v>1109</v>
      </c>
      <c r="D178" s="491">
        <f>SUMIF('pdc2019'!$G$8:$G$1169,'CE MINISTERIALE 2019'!$B178,'pdc2019'!$Q$8:$Q$1169)</f>
        <v>16532000</v>
      </c>
      <c r="E178" s="422"/>
      <c r="F178" s="423"/>
      <c r="G178" s="441"/>
      <c r="H178" s="441"/>
      <c r="J178" s="435"/>
      <c r="L178" s="441"/>
    </row>
    <row r="179" spans="1:12" s="448" customFormat="1" ht="24.95" customHeight="1">
      <c r="A179" s="456"/>
      <c r="B179" s="446" t="s">
        <v>1110</v>
      </c>
      <c r="C179" s="447" t="s">
        <v>1111</v>
      </c>
      <c r="D179" s="491">
        <f>SUMIF('pdc2019'!$G$8:$G$1169,'CE MINISTERIALE 2019'!$B179,'pdc2019'!$Q$8:$Q$1169)</f>
        <v>866000</v>
      </c>
      <c r="E179" s="457"/>
      <c r="G179" s="441"/>
      <c r="H179" s="441"/>
      <c r="J179" s="435"/>
      <c r="L179" s="441"/>
    </row>
    <row r="180" spans="1:12" s="448" customFormat="1" ht="24.95" customHeight="1">
      <c r="A180" s="456"/>
      <c r="B180" s="446" t="s">
        <v>1112</v>
      </c>
      <c r="C180" s="447" t="s">
        <v>1113</v>
      </c>
      <c r="D180" s="491">
        <f>SUMIF('pdc2019'!$G$8:$G$1169,'CE MINISTERIALE 2019'!$B180,'pdc2019'!$Q$8:$Q$1169)</f>
        <v>7633000</v>
      </c>
      <c r="E180" s="457"/>
      <c r="G180" s="441"/>
      <c r="H180" s="441"/>
      <c r="J180" s="435"/>
      <c r="L180" s="441"/>
    </row>
    <row r="181" spans="1:12" s="448" customFormat="1" ht="24.95" customHeight="1">
      <c r="A181" s="456"/>
      <c r="B181" s="446" t="s">
        <v>1114</v>
      </c>
      <c r="C181" s="447" t="s">
        <v>1115</v>
      </c>
      <c r="D181" s="491">
        <f>SUMIF('pdc2019'!$G$8:$G$1169,'CE MINISTERIALE 2019'!$B181,'pdc2019'!$Q$8:$Q$1169)</f>
        <v>105000</v>
      </c>
      <c r="E181" s="457"/>
      <c r="G181" s="441"/>
      <c r="H181" s="441"/>
      <c r="J181" s="435"/>
      <c r="L181" s="441"/>
    </row>
    <row r="182" spans="1:12" s="448" customFormat="1" ht="24.95" customHeight="1">
      <c r="A182" s="456"/>
      <c r="B182" s="446" t="s">
        <v>1116</v>
      </c>
      <c r="C182" s="447" t="s">
        <v>1117</v>
      </c>
      <c r="D182" s="491">
        <f>SUMIF('pdc2019'!$G$8:$G$1169,'CE MINISTERIALE 2019'!$B182,'pdc2019'!$Q$8:$Q$1169)</f>
        <v>38000</v>
      </c>
      <c r="E182" s="457"/>
      <c r="G182" s="441"/>
      <c r="H182" s="441"/>
      <c r="J182" s="435"/>
      <c r="L182" s="441"/>
    </row>
    <row r="183" spans="1:12" s="448" customFormat="1" ht="24.95" customHeight="1">
      <c r="A183" s="456"/>
      <c r="B183" s="446" t="s">
        <v>1118</v>
      </c>
      <c r="C183" s="447" t="s">
        <v>1119</v>
      </c>
      <c r="D183" s="491">
        <f>SUMIF('pdc2019'!$G$8:$G$1169,'CE MINISTERIALE 2019'!$B183,'pdc2019'!$Q$8:$Q$1169)</f>
        <v>4319000</v>
      </c>
      <c r="E183" s="457"/>
      <c r="G183" s="441"/>
      <c r="H183" s="441"/>
      <c r="J183" s="435"/>
      <c r="L183" s="441"/>
    </row>
    <row r="184" spans="1:12" s="448" customFormat="1" ht="24.95" customHeight="1">
      <c r="A184" s="456" t="s">
        <v>312</v>
      </c>
      <c r="B184" s="446" t="s">
        <v>1120</v>
      </c>
      <c r="C184" s="447" t="s">
        <v>1121</v>
      </c>
      <c r="D184" s="459">
        <f>SUM(D185:D192)</f>
        <v>0</v>
      </c>
      <c r="E184" s="457"/>
      <c r="J184" s="435"/>
      <c r="L184" s="441"/>
    </row>
    <row r="185" spans="1:12" s="457" customFormat="1" ht="24.95" customHeight="1">
      <c r="A185" s="456" t="s">
        <v>312</v>
      </c>
      <c r="B185" s="446" t="s">
        <v>4749</v>
      </c>
      <c r="C185" s="447" t="s">
        <v>4750</v>
      </c>
      <c r="D185" s="491">
        <f>SUMIF('pdc2019'!$G$8:$G$1169,'CE MINISTERIALE 2019'!$B185,'pdc2019'!$Q$8:$Q$1169)</f>
        <v>0</v>
      </c>
      <c r="J185" s="435"/>
      <c r="L185" s="441"/>
    </row>
    <row r="186" spans="1:12" s="457" customFormat="1" ht="24.95" customHeight="1">
      <c r="A186" s="680"/>
      <c r="B186" s="460"/>
      <c r="C186" s="461"/>
      <c r="D186" s="462"/>
      <c r="J186" s="435"/>
      <c r="L186" s="441"/>
    </row>
    <row r="187" spans="1:12" s="457" customFormat="1" ht="24.95" customHeight="1">
      <c r="A187" s="456" t="s">
        <v>312</v>
      </c>
      <c r="B187" s="446" t="s">
        <v>4751</v>
      </c>
      <c r="C187" s="447" t="s">
        <v>4752</v>
      </c>
      <c r="D187" s="491">
        <f>SUMIF('pdc2019'!$G$8:$G$1169,'CE MINISTERIALE 2019'!$B187,'pdc2019'!$Q$8:$Q$1169)</f>
        <v>0</v>
      </c>
      <c r="J187" s="435"/>
      <c r="L187" s="441"/>
    </row>
    <row r="188" spans="1:12" s="457" customFormat="1" ht="24.95" customHeight="1">
      <c r="A188" s="456" t="s">
        <v>312</v>
      </c>
      <c r="B188" s="446" t="s">
        <v>4753</v>
      </c>
      <c r="C188" s="447" t="s">
        <v>4754</v>
      </c>
      <c r="D188" s="491">
        <f>SUMIF('pdc2019'!$G$8:$G$1169,'CE MINISTERIALE 2019'!$B188,'pdc2019'!$Q$8:$Q$1169)</f>
        <v>0</v>
      </c>
      <c r="J188" s="435"/>
      <c r="L188" s="441"/>
    </row>
    <row r="189" spans="1:12" s="457" customFormat="1" ht="24.95" customHeight="1">
      <c r="A189" s="456" t="s">
        <v>312</v>
      </c>
      <c r="B189" s="446" t="s">
        <v>4755</v>
      </c>
      <c r="C189" s="447" t="s">
        <v>4756</v>
      </c>
      <c r="D189" s="491">
        <f>SUMIF('pdc2019'!$G$8:$G$1169,'CE MINISTERIALE 2019'!$B189,'pdc2019'!$Q$8:$Q$1169)</f>
        <v>0</v>
      </c>
      <c r="J189" s="435"/>
      <c r="L189" s="441"/>
    </row>
    <row r="190" spans="1:12" s="457" customFormat="1" ht="24.95" customHeight="1">
      <c r="A190" s="456" t="s">
        <v>312</v>
      </c>
      <c r="B190" s="446" t="s">
        <v>4757</v>
      </c>
      <c r="C190" s="447" t="s">
        <v>4758</v>
      </c>
      <c r="D190" s="491">
        <f>SUMIF('pdc2019'!$G$8:$G$1169,'CE MINISTERIALE 2019'!$B190,'pdc2019'!$Q$8:$Q$1169)</f>
        <v>0</v>
      </c>
      <c r="J190" s="435"/>
      <c r="L190" s="441"/>
    </row>
    <row r="191" spans="1:12" s="457" customFormat="1" ht="24.95" customHeight="1">
      <c r="A191" s="456" t="s">
        <v>312</v>
      </c>
      <c r="B191" s="446" t="s">
        <v>4759</v>
      </c>
      <c r="C191" s="447" t="s">
        <v>4760</v>
      </c>
      <c r="D191" s="491">
        <f>SUMIF('pdc2019'!$G$8:$G$1169,'CE MINISTERIALE 2019'!$B191,'pdc2019'!$Q$8:$Q$1169)</f>
        <v>0</v>
      </c>
      <c r="J191" s="435"/>
      <c r="L191" s="441"/>
    </row>
    <row r="192" spans="1:12" s="457" customFormat="1" ht="24.95" customHeight="1">
      <c r="A192" s="456" t="s">
        <v>312</v>
      </c>
      <c r="B192" s="446" t="s">
        <v>4761</v>
      </c>
      <c r="C192" s="447" t="s">
        <v>4762</v>
      </c>
      <c r="D192" s="491">
        <f>SUMIF('pdc2019'!$G$8:$G$1169,'CE MINISTERIALE 2019'!$B192,'pdc2019'!$Q$8:$Q$1169)</f>
        <v>0</v>
      </c>
      <c r="J192" s="435"/>
      <c r="L192" s="441"/>
    </row>
    <row r="193" spans="1:12" s="448" customFormat="1" ht="24.95" customHeight="1">
      <c r="A193" s="456"/>
      <c r="B193" s="442" t="s">
        <v>1122</v>
      </c>
      <c r="C193" s="443" t="s">
        <v>1123</v>
      </c>
      <c r="D193" s="438">
        <f>SUM(D194:D200)</f>
        <v>19120000</v>
      </c>
      <c r="E193" s="422"/>
      <c r="F193" s="440"/>
      <c r="G193" s="441"/>
      <c r="H193" s="441"/>
      <c r="J193" s="435"/>
      <c r="L193" s="441"/>
    </row>
    <row r="194" spans="1:12" s="448" customFormat="1" ht="24.95" customHeight="1">
      <c r="A194" s="456"/>
      <c r="B194" s="446" t="s">
        <v>1124</v>
      </c>
      <c r="C194" s="447" t="s">
        <v>1125</v>
      </c>
      <c r="D194" s="491">
        <f>SUMIF('pdc2019'!$G$8:$G$1169,'CE MINISTERIALE 2019'!$B194,'pdc2019'!$Q$8:$Q$1169)</f>
        <v>4864000</v>
      </c>
      <c r="E194" s="422"/>
      <c r="F194" s="423"/>
      <c r="G194" s="441"/>
      <c r="H194" s="441"/>
      <c r="J194" s="435"/>
      <c r="L194" s="441"/>
    </row>
    <row r="195" spans="1:12" s="448" customFormat="1" ht="24.95" customHeight="1">
      <c r="A195" s="456"/>
      <c r="B195" s="446" t="s">
        <v>1126</v>
      </c>
      <c r="C195" s="447" t="s">
        <v>1127</v>
      </c>
      <c r="D195" s="491">
        <f>SUMIF('pdc2019'!$G$8:$G$1169,'CE MINISTERIALE 2019'!$B195,'pdc2019'!$Q$8:$Q$1169)</f>
        <v>3023000</v>
      </c>
      <c r="E195" s="422"/>
      <c r="F195" s="423"/>
      <c r="G195" s="441"/>
      <c r="H195" s="441"/>
      <c r="J195" s="435"/>
      <c r="L195" s="441"/>
    </row>
    <row r="196" spans="1:12" s="448" customFormat="1" ht="24.95" customHeight="1">
      <c r="A196" s="456"/>
      <c r="B196" s="446" t="s">
        <v>1128</v>
      </c>
      <c r="C196" s="447" t="s">
        <v>1727</v>
      </c>
      <c r="D196" s="491">
        <f>SUMIF('pdc2019'!$G$8:$G$1169,'CE MINISTERIALE 2019'!$B196,'pdc2019'!$Q$8:$Q$1169)</f>
        <v>5977000</v>
      </c>
      <c r="E196" s="422"/>
      <c r="F196" s="423"/>
      <c r="G196" s="441"/>
      <c r="H196" s="441"/>
      <c r="J196" s="435"/>
      <c r="L196" s="441"/>
    </row>
    <row r="197" spans="1:12" s="448" customFormat="1" ht="24.95" customHeight="1">
      <c r="A197" s="456"/>
      <c r="B197" s="446" t="s">
        <v>1728</v>
      </c>
      <c r="C197" s="447" t="s">
        <v>1729</v>
      </c>
      <c r="D197" s="491">
        <f>SUMIF('pdc2019'!$G$8:$G$1169,'CE MINISTERIALE 2019'!$B197,'pdc2019'!$Q$8:$Q$1169)</f>
        <v>1600000</v>
      </c>
      <c r="E197" s="422"/>
      <c r="F197" s="423"/>
      <c r="G197" s="441"/>
      <c r="H197" s="441"/>
      <c r="J197" s="435"/>
      <c r="L197" s="441"/>
    </row>
    <row r="198" spans="1:12" s="448" customFormat="1" ht="24.95" customHeight="1">
      <c r="A198" s="456"/>
      <c r="B198" s="446" t="s">
        <v>1730</v>
      </c>
      <c r="C198" s="447" t="s">
        <v>1731</v>
      </c>
      <c r="D198" s="491">
        <f>SUMIF('pdc2019'!$G$8:$G$1169,'CE MINISTERIALE 2019'!$B198,'pdc2019'!$Q$8:$Q$1169)</f>
        <v>3278000</v>
      </c>
      <c r="E198" s="422"/>
      <c r="F198" s="423"/>
      <c r="G198" s="441"/>
      <c r="H198" s="441"/>
      <c r="J198" s="435"/>
      <c r="L198" s="441"/>
    </row>
    <row r="199" spans="1:12" s="448" customFormat="1" ht="24.95" customHeight="1">
      <c r="A199" s="456"/>
      <c r="B199" s="446" t="s">
        <v>1732</v>
      </c>
      <c r="C199" s="447" t="s">
        <v>1733</v>
      </c>
      <c r="D199" s="491">
        <f>SUMIF('pdc2019'!$G$8:$G$1169,'CE MINISTERIALE 2019'!$B199,'pdc2019'!$Q$8:$Q$1169)</f>
        <v>378000</v>
      </c>
      <c r="E199" s="422"/>
      <c r="F199" s="423"/>
      <c r="G199" s="441"/>
      <c r="H199" s="441"/>
      <c r="J199" s="435"/>
      <c r="L199" s="441"/>
    </row>
    <row r="200" spans="1:12" s="448" customFormat="1" ht="24.95" customHeight="1">
      <c r="A200" s="456" t="s">
        <v>312</v>
      </c>
      <c r="B200" s="446" t="s">
        <v>1734</v>
      </c>
      <c r="C200" s="447" t="s">
        <v>1735</v>
      </c>
      <c r="D200" s="491">
        <f>SUMIF('pdc2019'!$G$8:$G$1169,'CE MINISTERIALE 2019'!$B200,'pdc2019'!$Q$8:$Q$1169)</f>
        <v>0</v>
      </c>
      <c r="E200" s="422"/>
      <c r="F200" s="423"/>
      <c r="G200" s="441"/>
      <c r="H200" s="441"/>
      <c r="J200" s="435"/>
      <c r="L200" s="441"/>
    </row>
    <row r="201" spans="1:12" s="448" customFormat="1" ht="24.95" customHeight="1">
      <c r="A201" s="456"/>
      <c r="B201" s="436" t="s">
        <v>1736</v>
      </c>
      <c r="C201" s="437" t="s">
        <v>1737</v>
      </c>
      <c r="D201" s="438">
        <f>+D202+D332</f>
        <v>426871500</v>
      </c>
      <c r="E201" s="422"/>
      <c r="F201" s="440"/>
      <c r="G201" s="441"/>
      <c r="H201" s="441"/>
      <c r="J201" s="435"/>
      <c r="L201" s="441"/>
    </row>
    <row r="202" spans="1:12" s="448" customFormat="1" ht="24.95" customHeight="1">
      <c r="A202" s="456"/>
      <c r="B202" s="442" t="s">
        <v>1738</v>
      </c>
      <c r="C202" s="443" t="s">
        <v>1739</v>
      </c>
      <c r="D202" s="438">
        <f>+D203+D211+D215+D234+D240+D245+D250+D260+D266+D273+D279+D284+D293+D301+D309+D323+D331</f>
        <v>357006000</v>
      </c>
      <c r="E202" s="422"/>
      <c r="F202" s="440"/>
      <c r="G202" s="441"/>
      <c r="H202" s="441"/>
      <c r="J202" s="435"/>
      <c r="L202" s="441"/>
    </row>
    <row r="203" spans="1:12" s="448" customFormat="1" ht="24.95" customHeight="1">
      <c r="A203" s="456"/>
      <c r="B203" s="442" t="s">
        <v>1740</v>
      </c>
      <c r="C203" s="443" t="s">
        <v>1741</v>
      </c>
      <c r="D203" s="438">
        <f>+D204+D209+D210</f>
        <v>65820000</v>
      </c>
      <c r="E203" s="422"/>
      <c r="F203" s="440"/>
      <c r="G203" s="441"/>
      <c r="H203" s="441"/>
      <c r="J203" s="435"/>
      <c r="L203" s="441"/>
    </row>
    <row r="204" spans="1:12" s="448" customFormat="1" ht="24.95" customHeight="1">
      <c r="A204" s="456"/>
      <c r="B204" s="446" t="s">
        <v>1742</v>
      </c>
      <c r="C204" s="447" t="s">
        <v>1090</v>
      </c>
      <c r="D204" s="438">
        <f>SUM(D205:D208)</f>
        <v>65655000</v>
      </c>
      <c r="E204" s="422"/>
      <c r="F204" s="440"/>
      <c r="G204" s="441"/>
      <c r="H204" s="441"/>
      <c r="J204" s="435"/>
      <c r="L204" s="441"/>
    </row>
    <row r="205" spans="1:12" s="448" customFormat="1" ht="24.95" customHeight="1">
      <c r="A205" s="456"/>
      <c r="B205" s="446" t="s">
        <v>1743</v>
      </c>
      <c r="C205" s="447" t="s">
        <v>1744</v>
      </c>
      <c r="D205" s="491">
        <f>SUMIF('pdc2019'!$G$8:$G$1169,'CE MINISTERIALE 2019'!$B205,'pdc2019'!$Q$8:$Q$1169)</f>
        <v>45098000</v>
      </c>
      <c r="E205" s="422"/>
      <c r="F205" s="423"/>
      <c r="G205" s="441"/>
      <c r="H205" s="441"/>
      <c r="J205" s="435"/>
      <c r="L205" s="441"/>
    </row>
    <row r="206" spans="1:12" s="448" customFormat="1" ht="24.95" customHeight="1">
      <c r="A206" s="456"/>
      <c r="B206" s="446" t="s">
        <v>1745</v>
      </c>
      <c r="C206" s="447" t="s">
        <v>1746</v>
      </c>
      <c r="D206" s="491">
        <f>SUMIF('pdc2019'!$G$8:$G$1169,'CE MINISTERIALE 2019'!$B206,'pdc2019'!$Q$8:$Q$1169)</f>
        <v>12412000</v>
      </c>
      <c r="E206" s="422"/>
      <c r="F206" s="423"/>
      <c r="G206" s="441"/>
      <c r="H206" s="441"/>
      <c r="J206" s="435"/>
      <c r="L206" s="441"/>
    </row>
    <row r="207" spans="1:12" s="448" customFormat="1" ht="24.95" customHeight="1">
      <c r="A207" s="456"/>
      <c r="B207" s="446" t="s">
        <v>1747</v>
      </c>
      <c r="C207" s="447" t="s">
        <v>1748</v>
      </c>
      <c r="D207" s="491">
        <f>SUMIF('pdc2019'!$G$8:$G$1169,'CE MINISTERIALE 2019'!$B207,'pdc2019'!$Q$8:$Q$1169)</f>
        <v>7685000</v>
      </c>
      <c r="E207" s="422"/>
      <c r="F207" s="423"/>
      <c r="G207" s="441"/>
      <c r="H207" s="441"/>
      <c r="J207" s="435"/>
      <c r="L207" s="441"/>
    </row>
    <row r="208" spans="1:12" s="448" customFormat="1" ht="24.95" customHeight="1">
      <c r="A208" s="456"/>
      <c r="B208" s="446" t="s">
        <v>1749</v>
      </c>
      <c r="C208" s="447" t="s">
        <v>1750</v>
      </c>
      <c r="D208" s="491">
        <f>SUMIF('pdc2019'!$G$8:$G$1169,'CE MINISTERIALE 2019'!$B208,'pdc2019'!$Q$8:$Q$1169)</f>
        <v>460000</v>
      </c>
      <c r="E208" s="422"/>
      <c r="F208" s="423"/>
      <c r="G208" s="441"/>
      <c r="H208" s="441"/>
      <c r="J208" s="435"/>
      <c r="L208" s="441"/>
    </row>
    <row r="209" spans="1:12" s="448" customFormat="1" ht="24.95" customHeight="1">
      <c r="A209" s="456" t="s">
        <v>312</v>
      </c>
      <c r="B209" s="446" t="s">
        <v>1751</v>
      </c>
      <c r="C209" s="447" t="s">
        <v>1752</v>
      </c>
      <c r="D209" s="491">
        <f>SUMIF('pdc2019'!$G$8:$G$1169,'CE MINISTERIALE 2019'!$B209,'pdc2019'!$Q$8:$Q$1169)</f>
        <v>0</v>
      </c>
      <c r="E209" s="422"/>
      <c r="F209" s="423"/>
      <c r="G209" s="441"/>
      <c r="H209" s="441"/>
      <c r="J209" s="435"/>
      <c r="L209" s="441"/>
    </row>
    <row r="210" spans="1:12" s="448" customFormat="1" ht="24.95" customHeight="1">
      <c r="A210" s="456" t="s">
        <v>1589</v>
      </c>
      <c r="B210" s="446" t="s">
        <v>1753</v>
      </c>
      <c r="C210" s="447" t="s">
        <v>1754</v>
      </c>
      <c r="D210" s="491">
        <f>SUMIF('pdc2019'!$G$8:$G$1169,'CE MINISTERIALE 2019'!$B210,'pdc2019'!$Q$8:$Q$1169)</f>
        <v>165000</v>
      </c>
      <c r="E210" s="422"/>
      <c r="F210" s="423"/>
      <c r="G210" s="441"/>
      <c r="H210" s="441"/>
      <c r="J210" s="435"/>
      <c r="L210" s="441"/>
    </row>
    <row r="211" spans="1:12" s="448" customFormat="1" ht="24.95" customHeight="1">
      <c r="A211" s="456"/>
      <c r="B211" s="442" t="s">
        <v>1335</v>
      </c>
      <c r="C211" s="443" t="s">
        <v>1336</v>
      </c>
      <c r="D211" s="438">
        <f>+D212+D213+D214</f>
        <v>45548000</v>
      </c>
      <c r="E211" s="422"/>
      <c r="F211" s="440"/>
      <c r="G211" s="441"/>
      <c r="H211" s="441"/>
      <c r="J211" s="435"/>
      <c r="L211" s="441"/>
    </row>
    <row r="212" spans="1:12" s="448" customFormat="1" ht="24.95" customHeight="1">
      <c r="A212" s="456"/>
      <c r="B212" s="446" t="s">
        <v>1337</v>
      </c>
      <c r="C212" s="447" t="s">
        <v>1338</v>
      </c>
      <c r="D212" s="491">
        <f>SUMIF('pdc2019'!$G$8:$G$1169,'CE MINISTERIALE 2019'!$B212,'pdc2019'!$Q$8:$Q$1169)</f>
        <v>45073000</v>
      </c>
      <c r="E212" s="422"/>
      <c r="F212" s="423"/>
      <c r="G212" s="441"/>
      <c r="H212" s="441"/>
      <c r="J212" s="435"/>
      <c r="L212" s="441"/>
    </row>
    <row r="213" spans="1:12" s="448" customFormat="1" ht="24.95" customHeight="1">
      <c r="A213" s="456" t="s">
        <v>312</v>
      </c>
      <c r="B213" s="446" t="s">
        <v>1339</v>
      </c>
      <c r="C213" s="447" t="s">
        <v>1340</v>
      </c>
      <c r="D213" s="491">
        <f>SUMIF('pdc2019'!$G$8:$G$1169,'CE MINISTERIALE 2019'!$B213,'pdc2019'!$Q$8:$Q$1169)</f>
        <v>0</v>
      </c>
      <c r="E213" s="422"/>
      <c r="F213" s="423"/>
      <c r="G213" s="441"/>
      <c r="H213" s="441"/>
      <c r="J213" s="435"/>
      <c r="L213" s="441"/>
    </row>
    <row r="214" spans="1:12" s="423" customFormat="1" ht="24.95" customHeight="1">
      <c r="A214" s="453" t="s">
        <v>1589</v>
      </c>
      <c r="B214" s="446" t="s">
        <v>1341</v>
      </c>
      <c r="C214" s="447" t="s">
        <v>1342</v>
      </c>
      <c r="D214" s="491">
        <f>SUMIF('pdc2019'!$G$8:$G$1169,'CE MINISTERIALE 2019'!$B214,'pdc2019'!$Q$8:$Q$1169)</f>
        <v>475000</v>
      </c>
      <c r="E214" s="422"/>
      <c r="G214" s="441"/>
      <c r="H214" s="441"/>
      <c r="J214" s="435"/>
      <c r="L214" s="441"/>
    </row>
    <row r="215" spans="1:12" s="423" customFormat="1" ht="24.95" customHeight="1">
      <c r="A215" s="453"/>
      <c r="B215" s="442" t="s">
        <v>1343</v>
      </c>
      <c r="C215" s="443" t="s">
        <v>1344</v>
      </c>
      <c r="D215" s="438">
        <f>+D216+D217+D218+D219+D220+D221+D222+D223+D232+D233</f>
        <v>17553000</v>
      </c>
      <c r="E215" s="422"/>
      <c r="F215" s="440"/>
      <c r="G215" s="441"/>
      <c r="H215" s="441"/>
      <c r="J215" s="435"/>
      <c r="L215" s="441"/>
    </row>
    <row r="216" spans="1:12" s="423" customFormat="1" ht="24.95" customHeight="1">
      <c r="A216" s="681" t="s">
        <v>312</v>
      </c>
      <c r="B216" s="446" t="s">
        <v>1345</v>
      </c>
      <c r="C216" s="447" t="s">
        <v>1346</v>
      </c>
      <c r="D216" s="491">
        <f>SUMIF('pdc2019'!$G$8:$G$1169,'CE MINISTERIALE 2019'!$B216,'pdc2019'!$Q$8:$Q$1169)</f>
        <v>0</v>
      </c>
      <c r="E216" s="422"/>
      <c r="G216" s="441"/>
      <c r="H216" s="441"/>
      <c r="J216" s="435"/>
      <c r="L216" s="441"/>
    </row>
    <row r="217" spans="1:12" s="422" customFormat="1" ht="24.95" customHeight="1">
      <c r="A217" s="681" t="s">
        <v>312</v>
      </c>
      <c r="B217" s="446" t="s">
        <v>4763</v>
      </c>
      <c r="C217" s="447" t="s">
        <v>4764</v>
      </c>
      <c r="D217" s="491">
        <f>SUMIF('pdc2019'!$G$8:$G$1169,'CE MINISTERIALE 2019'!$B217,'pdc2019'!$Q$8:$Q$1169)</f>
        <v>0</v>
      </c>
      <c r="G217" s="441"/>
      <c r="H217" s="441"/>
      <c r="J217" s="435"/>
      <c r="L217" s="441"/>
    </row>
    <row r="218" spans="1:12" s="423" customFormat="1" ht="24.95" customHeight="1">
      <c r="A218" s="453"/>
      <c r="B218" s="446" t="s">
        <v>1347</v>
      </c>
      <c r="C218" s="447" t="s">
        <v>4765</v>
      </c>
      <c r="D218" s="491">
        <f>SUMIF('pdc2019'!$G$8:$G$1169,'CE MINISTERIALE 2019'!$B218,'pdc2019'!$Q$8:$Q$1169)</f>
        <v>0</v>
      </c>
      <c r="E218" s="422"/>
      <c r="G218" s="441"/>
      <c r="H218" s="441"/>
      <c r="J218" s="435"/>
      <c r="L218" s="441"/>
    </row>
    <row r="219" spans="1:12" s="422" customFormat="1" ht="24.95" customHeight="1">
      <c r="A219" s="453"/>
      <c r="B219" s="446" t="s">
        <v>4766</v>
      </c>
      <c r="C219" s="447" t="s">
        <v>4767</v>
      </c>
      <c r="D219" s="491">
        <f>SUMIF('pdc2019'!$G$8:$G$1169,'CE MINISTERIALE 2019'!$B219,'pdc2019'!$Q$8:$Q$1169)</f>
        <v>0</v>
      </c>
      <c r="G219" s="441"/>
      <c r="H219" s="441"/>
      <c r="J219" s="435"/>
      <c r="L219" s="441"/>
    </row>
    <row r="220" spans="1:12" s="423" customFormat="1" ht="24.95" customHeight="1">
      <c r="A220" s="453" t="s">
        <v>1589</v>
      </c>
      <c r="B220" s="446" t="s">
        <v>1348</v>
      </c>
      <c r="C220" s="447" t="s">
        <v>4768</v>
      </c>
      <c r="D220" s="491">
        <f>SUMIF('pdc2019'!$G$8:$G$1169,'CE MINISTERIALE 2019'!$B220,'pdc2019'!$Q$8:$Q$1169)</f>
        <v>4281000</v>
      </c>
      <c r="E220" s="422"/>
      <c r="G220" s="441"/>
      <c r="H220" s="441"/>
      <c r="J220" s="435"/>
      <c r="L220" s="441"/>
    </row>
    <row r="221" spans="1:12" s="422" customFormat="1" ht="24.95" customHeight="1">
      <c r="A221" s="453" t="s">
        <v>1589</v>
      </c>
      <c r="B221" s="446" t="s">
        <v>4769</v>
      </c>
      <c r="C221" s="447" t="s">
        <v>4770</v>
      </c>
      <c r="D221" s="491">
        <f>SUMIF('pdc2019'!$G$8:$G$1169,'CE MINISTERIALE 2019'!$B221,'pdc2019'!$Q$8:$Q$1169)</f>
        <v>0</v>
      </c>
      <c r="G221" s="441"/>
      <c r="H221" s="441"/>
      <c r="J221" s="435"/>
      <c r="L221" s="441"/>
    </row>
    <row r="222" spans="1:12" s="423" customFormat="1" ht="24.95" customHeight="1">
      <c r="A222" s="453"/>
      <c r="B222" s="446" t="s">
        <v>1349</v>
      </c>
      <c r="C222" s="447" t="s">
        <v>4771</v>
      </c>
      <c r="D222" s="491">
        <f>SUMIF('pdc2019'!$G$8:$G$1169,'CE MINISTERIALE 2019'!$B222,'pdc2019'!$Q$8:$Q$1169)</f>
        <v>843000</v>
      </c>
      <c r="E222" s="422"/>
      <c r="G222" s="441"/>
      <c r="H222" s="441"/>
      <c r="J222" s="435"/>
      <c r="L222" s="441"/>
    </row>
    <row r="223" spans="1:12" s="423" customFormat="1" ht="24.95" customHeight="1">
      <c r="A223" s="453"/>
      <c r="B223" s="446" t="s">
        <v>1350</v>
      </c>
      <c r="C223" s="447" t="s">
        <v>4772</v>
      </c>
      <c r="D223" s="438">
        <f>SUM(D224:D231)</f>
        <v>12429000</v>
      </c>
      <c r="E223" s="422"/>
      <c r="F223" s="440"/>
      <c r="G223" s="441"/>
      <c r="H223" s="441"/>
      <c r="J223" s="435"/>
      <c r="L223" s="441"/>
    </row>
    <row r="224" spans="1:12" s="423" customFormat="1" ht="24.95" customHeight="1">
      <c r="A224" s="453"/>
      <c r="B224" s="449" t="s">
        <v>1351</v>
      </c>
      <c r="C224" s="450" t="s">
        <v>4773</v>
      </c>
      <c r="D224" s="491">
        <f>SUMIF('pdc2019'!$G$8:$G$1169,'CE MINISTERIALE 2019'!$B224,'pdc2019'!$Q$8:$Q$1169)</f>
        <v>124000</v>
      </c>
      <c r="E224" s="422"/>
      <c r="G224" s="441"/>
      <c r="H224" s="441"/>
      <c r="J224" s="435"/>
      <c r="L224" s="441"/>
    </row>
    <row r="225" spans="1:12" s="423" customFormat="1" ht="24.95" customHeight="1">
      <c r="A225" s="453"/>
      <c r="B225" s="449" t="s">
        <v>4774</v>
      </c>
      <c r="C225" s="450" t="s">
        <v>4775</v>
      </c>
      <c r="D225" s="491">
        <f>SUMIF('pdc2019'!$G$8:$G$1169,'CE MINISTERIALE 2019'!$B225,'pdc2019'!$Q$8:$Q$1169)</f>
        <v>0</v>
      </c>
      <c r="E225" s="422"/>
      <c r="G225" s="441"/>
      <c r="H225" s="441"/>
      <c r="J225" s="435"/>
      <c r="L225" s="441"/>
    </row>
    <row r="226" spans="1:12" s="423" customFormat="1" ht="24.95" customHeight="1">
      <c r="A226" s="453"/>
      <c r="B226" s="449" t="s">
        <v>1352</v>
      </c>
      <c r="C226" s="450" t="s">
        <v>4776</v>
      </c>
      <c r="D226" s="491">
        <f>SUMIF('pdc2019'!$G$8:$G$1169,'CE MINISTERIALE 2019'!$B226,'pdc2019'!$Q$8:$Q$1169)</f>
        <v>0</v>
      </c>
      <c r="E226" s="422"/>
      <c r="G226" s="441"/>
      <c r="H226" s="441"/>
      <c r="J226" s="435"/>
      <c r="L226" s="441"/>
    </row>
    <row r="227" spans="1:12" s="423" customFormat="1" ht="24.95" customHeight="1">
      <c r="A227" s="453"/>
      <c r="B227" s="449" t="s">
        <v>4777</v>
      </c>
      <c r="C227" s="450" t="s">
        <v>4778</v>
      </c>
      <c r="D227" s="491">
        <f>SUMIF('pdc2019'!$G$8:$G$1169,'CE MINISTERIALE 2019'!$B227,'pdc2019'!$Q$8:$Q$1169)</f>
        <v>5000</v>
      </c>
      <c r="E227" s="422"/>
      <c r="G227" s="441"/>
      <c r="H227" s="441"/>
      <c r="J227" s="435"/>
      <c r="L227" s="441"/>
    </row>
    <row r="228" spans="1:12" s="423" customFormat="1" ht="24.95" customHeight="1">
      <c r="A228" s="453"/>
      <c r="B228" s="449" t="s">
        <v>1353</v>
      </c>
      <c r="C228" s="450" t="s">
        <v>4779</v>
      </c>
      <c r="D228" s="491">
        <f>SUMIF('pdc2019'!$G$8:$G$1169,'CE MINISTERIALE 2019'!$B228,'pdc2019'!$Q$8:$Q$1169)</f>
        <v>3700000</v>
      </c>
      <c r="E228" s="422"/>
      <c r="G228" s="441"/>
      <c r="H228" s="441"/>
      <c r="J228" s="435"/>
      <c r="L228" s="441"/>
    </row>
    <row r="229" spans="1:12" s="423" customFormat="1" ht="24.95" customHeight="1">
      <c r="A229" s="453"/>
      <c r="B229" s="449" t="s">
        <v>4780</v>
      </c>
      <c r="C229" s="450" t="s">
        <v>4781</v>
      </c>
      <c r="D229" s="491">
        <f>SUMIF('pdc2019'!$G$8:$G$1169,'CE MINISTERIALE 2019'!$B229,'pdc2019'!$Q$8:$Q$1169)</f>
        <v>0</v>
      </c>
      <c r="E229" s="422"/>
      <c r="G229" s="441"/>
      <c r="H229" s="441"/>
      <c r="J229" s="435"/>
      <c r="L229" s="441"/>
    </row>
    <row r="230" spans="1:12" s="423" customFormat="1" ht="24.95" customHeight="1">
      <c r="A230" s="453"/>
      <c r="B230" s="449" t="s">
        <v>1354</v>
      </c>
      <c r="C230" s="450" t="s">
        <v>4782</v>
      </c>
      <c r="D230" s="491">
        <f>SUMIF('pdc2019'!$G$8:$G$1169,'CE MINISTERIALE 2019'!$B230,'pdc2019'!$Q$8:$Q$1169)</f>
        <v>8488000</v>
      </c>
      <c r="E230" s="422"/>
      <c r="G230" s="441"/>
      <c r="H230" s="441"/>
      <c r="J230" s="435"/>
      <c r="L230" s="441"/>
    </row>
    <row r="231" spans="1:12" s="423" customFormat="1" ht="24.95" customHeight="1">
      <c r="A231" s="453"/>
      <c r="B231" s="449" t="s">
        <v>4783</v>
      </c>
      <c r="C231" s="450" t="s">
        <v>4784</v>
      </c>
      <c r="D231" s="491">
        <f>SUMIF('pdc2019'!$G$8:$G$1169,'CE MINISTERIALE 2019'!$B231,'pdc2019'!$Q$8:$Q$1169)</f>
        <v>112000</v>
      </c>
      <c r="E231" s="422"/>
      <c r="G231" s="441"/>
      <c r="H231" s="441"/>
      <c r="J231" s="435"/>
      <c r="L231" s="441"/>
    </row>
    <row r="232" spans="1:12" s="423" customFormat="1" ht="24.95" customHeight="1">
      <c r="A232" s="453"/>
      <c r="B232" s="446" t="s">
        <v>1355</v>
      </c>
      <c r="C232" s="447" t="s">
        <v>4785</v>
      </c>
      <c r="D232" s="491">
        <f>SUMIF('pdc2019'!$G$8:$G$1169,'CE MINISTERIALE 2019'!$B232,'pdc2019'!$Q$8:$Q$1169)</f>
        <v>0</v>
      </c>
      <c r="E232" s="422"/>
      <c r="G232" s="441"/>
      <c r="H232" s="441"/>
      <c r="J232" s="435"/>
      <c r="L232" s="441"/>
    </row>
    <row r="233" spans="1:12" s="423" customFormat="1" ht="24.95" customHeight="1">
      <c r="A233" s="453"/>
      <c r="B233" s="449" t="s">
        <v>4786</v>
      </c>
      <c r="C233" s="450" t="s">
        <v>4787</v>
      </c>
      <c r="D233" s="491">
        <f>SUMIF('pdc2019'!$G$8:$G$1169,'CE MINISTERIALE 2019'!$B233,'pdc2019'!$Q$8:$Q$1169)</f>
        <v>0</v>
      </c>
      <c r="E233" s="422"/>
      <c r="G233" s="441"/>
      <c r="H233" s="441"/>
      <c r="J233" s="435"/>
      <c r="L233" s="441"/>
    </row>
    <row r="234" spans="1:12" s="448" customFormat="1" ht="24.95" customHeight="1">
      <c r="A234" s="456"/>
      <c r="B234" s="442" t="s">
        <v>1356</v>
      </c>
      <c r="C234" s="443" t="s">
        <v>1357</v>
      </c>
      <c r="D234" s="438">
        <f>SUM(D235:D239)</f>
        <v>112000</v>
      </c>
      <c r="E234" s="422"/>
      <c r="F234" s="440"/>
      <c r="G234" s="441"/>
      <c r="H234" s="441"/>
      <c r="J234" s="435"/>
      <c r="L234" s="441"/>
    </row>
    <row r="235" spans="1:12" s="448" customFormat="1" ht="24.95" customHeight="1">
      <c r="A235" s="456" t="s">
        <v>312</v>
      </c>
      <c r="B235" s="446" t="s">
        <v>1358</v>
      </c>
      <c r="C235" s="447" t="s">
        <v>1359</v>
      </c>
      <c r="D235" s="491">
        <f>SUMIF('pdc2019'!$G$8:$G$1169,'CE MINISTERIALE 2019'!$B235,'pdc2019'!$Q$8:$Q$1169)</f>
        <v>0</v>
      </c>
      <c r="E235" s="422"/>
      <c r="F235" s="423"/>
      <c r="G235" s="441"/>
      <c r="H235" s="441"/>
      <c r="J235" s="435"/>
      <c r="L235" s="441"/>
    </row>
    <row r="236" spans="1:12" s="448" customFormat="1" ht="24.95" customHeight="1">
      <c r="A236" s="678"/>
      <c r="B236" s="446" t="s">
        <v>1360</v>
      </c>
      <c r="C236" s="447" t="s">
        <v>1361</v>
      </c>
      <c r="D236" s="491">
        <f>SUMIF('pdc2019'!$G$8:$G$1169,'CE MINISTERIALE 2019'!$B236,'pdc2019'!$Q$8:$Q$1169)</f>
        <v>0</v>
      </c>
      <c r="E236" s="422"/>
      <c r="F236" s="423"/>
      <c r="G236" s="441"/>
      <c r="H236" s="441"/>
      <c r="J236" s="435"/>
      <c r="L236" s="441"/>
    </row>
    <row r="237" spans="1:12" s="448" customFormat="1" ht="24.95" customHeight="1">
      <c r="A237" s="678" t="s">
        <v>1594</v>
      </c>
      <c r="B237" s="446" t="s">
        <v>1362</v>
      </c>
      <c r="C237" s="447" t="s">
        <v>41</v>
      </c>
      <c r="D237" s="491">
        <f>SUMIF('pdc2019'!$G$8:$G$1169,'CE MINISTERIALE 2019'!$B237,'pdc2019'!$Q$8:$Q$1169)</f>
        <v>0</v>
      </c>
      <c r="E237" s="422"/>
      <c r="F237" s="423"/>
      <c r="G237" s="441"/>
      <c r="H237" s="441"/>
      <c r="J237" s="435"/>
      <c r="L237" s="441"/>
    </row>
    <row r="238" spans="1:12" s="448" customFormat="1" ht="24.95" customHeight="1">
      <c r="A238" s="678"/>
      <c r="B238" s="446" t="s">
        <v>42</v>
      </c>
      <c r="C238" s="447" t="s">
        <v>43</v>
      </c>
      <c r="D238" s="491">
        <f>SUMIF('pdc2019'!$G$8:$G$1169,'CE MINISTERIALE 2019'!$B238,'pdc2019'!$Q$8:$Q$1169)</f>
        <v>0</v>
      </c>
      <c r="E238" s="422"/>
      <c r="F238" s="423"/>
      <c r="G238" s="441"/>
      <c r="H238" s="441"/>
      <c r="J238" s="435"/>
      <c r="L238" s="441"/>
    </row>
    <row r="239" spans="1:12" s="448" customFormat="1" ht="24.95" customHeight="1">
      <c r="A239" s="678"/>
      <c r="B239" s="446" t="s">
        <v>44</v>
      </c>
      <c r="C239" s="447" t="s">
        <v>45</v>
      </c>
      <c r="D239" s="491">
        <f>SUMIF('pdc2019'!$G$8:$G$1169,'CE MINISTERIALE 2019'!$B239,'pdc2019'!$Q$8:$Q$1169)</f>
        <v>112000</v>
      </c>
      <c r="E239" s="422"/>
      <c r="F239" s="423"/>
      <c r="G239" s="441"/>
      <c r="H239" s="441"/>
      <c r="J239" s="435"/>
      <c r="L239" s="441"/>
    </row>
    <row r="240" spans="1:12" s="448" customFormat="1" ht="24.95" customHeight="1">
      <c r="A240" s="456"/>
      <c r="B240" s="442" t="s">
        <v>46</v>
      </c>
      <c r="C240" s="443" t="s">
        <v>47</v>
      </c>
      <c r="D240" s="438">
        <f>SUM(D241:D244)</f>
        <v>28559000</v>
      </c>
      <c r="E240" s="422"/>
      <c r="F240" s="440"/>
      <c r="G240" s="441"/>
      <c r="H240" s="441"/>
      <c r="J240" s="435"/>
      <c r="L240" s="441"/>
    </row>
    <row r="241" spans="1:12" s="448" customFormat="1" ht="24.95" customHeight="1">
      <c r="A241" s="456" t="s">
        <v>312</v>
      </c>
      <c r="B241" s="446" t="s">
        <v>48</v>
      </c>
      <c r="C241" s="447" t="s">
        <v>49</v>
      </c>
      <c r="D241" s="491">
        <f>SUMIF('pdc2019'!$G$8:$G$1169,'CE MINISTERIALE 2019'!$B241,'pdc2019'!$Q$8:$Q$1169)</f>
        <v>0</v>
      </c>
      <c r="E241" s="422"/>
      <c r="F241" s="423"/>
      <c r="G241" s="441"/>
      <c r="H241" s="441"/>
      <c r="J241" s="435"/>
      <c r="L241" s="441"/>
    </row>
    <row r="242" spans="1:12" s="448" customFormat="1" ht="24.95" customHeight="1">
      <c r="A242" s="456"/>
      <c r="B242" s="446" t="s">
        <v>50</v>
      </c>
      <c r="C242" s="447" t="s">
        <v>51</v>
      </c>
      <c r="D242" s="491">
        <f>SUMIF('pdc2019'!$G$8:$G$1169,'CE MINISTERIALE 2019'!$B242,'pdc2019'!$Q$8:$Q$1169)</f>
        <v>1681000</v>
      </c>
      <c r="E242" s="422"/>
      <c r="F242" s="423"/>
      <c r="G242" s="441"/>
      <c r="H242" s="441"/>
      <c r="J242" s="435"/>
      <c r="L242" s="441"/>
    </row>
    <row r="243" spans="1:12" s="423" customFormat="1" ht="24.95" customHeight="1">
      <c r="A243" s="453" t="s">
        <v>1589</v>
      </c>
      <c r="B243" s="446" t="s">
        <v>52</v>
      </c>
      <c r="C243" s="447" t="s">
        <v>53</v>
      </c>
      <c r="D243" s="491">
        <f>SUMIF('pdc2019'!$G$8:$G$1169,'CE MINISTERIALE 2019'!$B243,'pdc2019'!$Q$8:$Q$1169)</f>
        <v>0</v>
      </c>
      <c r="E243" s="422"/>
      <c r="G243" s="441"/>
      <c r="H243" s="441"/>
      <c r="J243" s="435"/>
      <c r="L243" s="441"/>
    </row>
    <row r="244" spans="1:12" s="423" customFormat="1" ht="24.95" customHeight="1">
      <c r="A244" s="453"/>
      <c r="B244" s="446" t="s">
        <v>54</v>
      </c>
      <c r="C244" s="447" t="s">
        <v>55</v>
      </c>
      <c r="D244" s="491">
        <f>SUMIF('pdc2019'!$G$8:$G$1169,'CE MINISTERIALE 2019'!$B244,'pdc2019'!$Q$8:$Q$1169)</f>
        <v>26878000</v>
      </c>
      <c r="E244" s="422"/>
      <c r="G244" s="441"/>
      <c r="H244" s="441"/>
      <c r="J244" s="435"/>
      <c r="L244" s="441"/>
    </row>
    <row r="245" spans="1:12" s="423" customFormat="1" ht="24.95" customHeight="1">
      <c r="A245" s="453"/>
      <c r="B245" s="442" t="s">
        <v>56</v>
      </c>
      <c r="C245" s="443" t="s">
        <v>57</v>
      </c>
      <c r="D245" s="438">
        <f>SUM(D246:D249)</f>
        <v>7786000</v>
      </c>
      <c r="E245" s="422"/>
      <c r="F245" s="440"/>
      <c r="G245" s="441"/>
      <c r="H245" s="441"/>
      <c r="J245" s="435"/>
      <c r="L245" s="441"/>
    </row>
    <row r="246" spans="1:12" s="423" customFormat="1" ht="24.95" customHeight="1">
      <c r="A246" s="453" t="s">
        <v>312</v>
      </c>
      <c r="B246" s="446" t="s">
        <v>58</v>
      </c>
      <c r="C246" s="447" t="s">
        <v>59</v>
      </c>
      <c r="D246" s="491">
        <f>SUMIF('pdc2019'!$G$8:$G$1169,'CE MINISTERIALE 2019'!$B246,'pdc2019'!$Q$8:$Q$1169)</f>
        <v>0</v>
      </c>
      <c r="E246" s="422"/>
      <c r="G246" s="441"/>
      <c r="H246" s="441"/>
      <c r="J246" s="435"/>
      <c r="L246" s="441"/>
    </row>
    <row r="247" spans="1:12" s="423" customFormat="1" ht="24.95" customHeight="1">
      <c r="A247" s="453"/>
      <c r="B247" s="446" t="s">
        <v>60</v>
      </c>
      <c r="C247" s="447" t="s">
        <v>61</v>
      </c>
      <c r="D247" s="491">
        <f>SUMIF('pdc2019'!$G$8:$G$1169,'CE MINISTERIALE 2019'!$B247,'pdc2019'!$Q$8:$Q$1169)</f>
        <v>0</v>
      </c>
      <c r="E247" s="422"/>
      <c r="G247" s="441"/>
      <c r="H247" s="441"/>
      <c r="J247" s="435"/>
      <c r="L247" s="441"/>
    </row>
    <row r="248" spans="1:12" s="423" customFormat="1" ht="24.95" customHeight="1">
      <c r="A248" s="453" t="s">
        <v>1589</v>
      </c>
      <c r="B248" s="446" t="s">
        <v>62</v>
      </c>
      <c r="C248" s="447" t="s">
        <v>63</v>
      </c>
      <c r="D248" s="491">
        <f>SUMIF('pdc2019'!$G$8:$G$1169,'CE MINISTERIALE 2019'!$B248,'pdc2019'!$Q$8:$Q$1169)</f>
        <v>0</v>
      </c>
      <c r="E248" s="422"/>
      <c r="G248" s="441"/>
      <c r="H248" s="441"/>
      <c r="J248" s="435"/>
      <c r="L248" s="441"/>
    </row>
    <row r="249" spans="1:12" s="423" customFormat="1" ht="24.95" customHeight="1">
      <c r="A249" s="453"/>
      <c r="B249" s="446" t="s">
        <v>64</v>
      </c>
      <c r="C249" s="447" t="s">
        <v>65</v>
      </c>
      <c r="D249" s="491">
        <f>SUMIF('pdc2019'!$G$8:$G$1169,'CE MINISTERIALE 2019'!$B249,'pdc2019'!$Q$8:$Q$1169)</f>
        <v>7786000</v>
      </c>
      <c r="E249" s="422"/>
      <c r="G249" s="441"/>
      <c r="H249" s="441"/>
      <c r="J249" s="435"/>
      <c r="L249" s="441"/>
    </row>
    <row r="250" spans="1:12" s="423" customFormat="1" ht="24.95" customHeight="1">
      <c r="A250" s="453"/>
      <c r="B250" s="442" t="s">
        <v>66</v>
      </c>
      <c r="C250" s="443" t="s">
        <v>67</v>
      </c>
      <c r="D250" s="438">
        <f>SUM(D251:D254,D259)</f>
        <v>49974000</v>
      </c>
      <c r="E250" s="422"/>
      <c r="F250" s="440"/>
      <c r="G250" s="441"/>
      <c r="H250" s="441"/>
      <c r="J250" s="435"/>
      <c r="L250" s="441"/>
    </row>
    <row r="251" spans="1:12" s="423" customFormat="1" ht="24.95" customHeight="1">
      <c r="A251" s="453" t="s">
        <v>312</v>
      </c>
      <c r="B251" s="446" t="s">
        <v>68</v>
      </c>
      <c r="C251" s="447" t="s">
        <v>69</v>
      </c>
      <c r="D251" s="491">
        <f>SUMIF('pdc2019'!$G$8:$G$1169,'CE MINISTERIALE 2019'!$B251,'pdc2019'!$Q$8:$Q$1169)</f>
        <v>0</v>
      </c>
      <c r="E251" s="422"/>
      <c r="G251" s="441"/>
      <c r="H251" s="441"/>
      <c r="J251" s="435"/>
      <c r="L251" s="441"/>
    </row>
    <row r="252" spans="1:12" s="423" customFormat="1" ht="24.95" customHeight="1">
      <c r="A252" s="453"/>
      <c r="B252" s="446" t="s">
        <v>70</v>
      </c>
      <c r="C252" s="447" t="s">
        <v>71</v>
      </c>
      <c r="D252" s="491">
        <f>SUMIF('pdc2019'!$G$8:$G$1169,'CE MINISTERIALE 2019'!$B252,'pdc2019'!$Q$8:$Q$1169)</f>
        <v>415000</v>
      </c>
      <c r="E252" s="422"/>
      <c r="G252" s="441"/>
      <c r="H252" s="441"/>
      <c r="J252" s="435"/>
      <c r="L252" s="441"/>
    </row>
    <row r="253" spans="1:12" s="423" customFormat="1" ht="24.95" customHeight="1">
      <c r="A253" s="453" t="s">
        <v>1589</v>
      </c>
      <c r="B253" s="446" t="s">
        <v>72</v>
      </c>
      <c r="C253" s="447" t="s">
        <v>73</v>
      </c>
      <c r="D253" s="491">
        <f>SUMIF('pdc2019'!$G$8:$G$1169,'CE MINISTERIALE 2019'!$B253,'pdc2019'!$Q$8:$Q$1169)</f>
        <v>20478000</v>
      </c>
      <c r="E253" s="422"/>
      <c r="G253" s="441"/>
      <c r="H253" s="441"/>
      <c r="J253" s="435"/>
      <c r="L253" s="441"/>
    </row>
    <row r="254" spans="1:12" s="423" customFormat="1" ht="24.95" customHeight="1">
      <c r="A254" s="453"/>
      <c r="B254" s="446" t="s">
        <v>74</v>
      </c>
      <c r="C254" s="447" t="s">
        <v>75</v>
      </c>
      <c r="D254" s="438">
        <f>SUM(D255:D258)</f>
        <v>28571000</v>
      </c>
      <c r="E254" s="422"/>
      <c r="F254" s="440"/>
      <c r="G254" s="441"/>
      <c r="H254" s="441"/>
      <c r="J254" s="435"/>
      <c r="L254" s="441"/>
    </row>
    <row r="255" spans="1:12" s="423" customFormat="1" ht="24.95" customHeight="1">
      <c r="A255" s="453"/>
      <c r="B255" s="449" t="s">
        <v>76</v>
      </c>
      <c r="C255" s="450" t="s">
        <v>77</v>
      </c>
      <c r="D255" s="491">
        <f>SUMIF('pdc2019'!$G$8:$G$1169,'CE MINISTERIALE 2019'!$B255,'pdc2019'!$Q$8:$Q$1169)</f>
        <v>0</v>
      </c>
      <c r="E255" s="422"/>
      <c r="G255" s="441"/>
      <c r="H255" s="441"/>
      <c r="J255" s="435"/>
      <c r="L255" s="441"/>
    </row>
    <row r="256" spans="1:12" s="423" customFormat="1" ht="24.95" customHeight="1">
      <c r="A256" s="453"/>
      <c r="B256" s="449" t="s">
        <v>78</v>
      </c>
      <c r="C256" s="450" t="s">
        <v>594</v>
      </c>
      <c r="D256" s="491">
        <f>SUMIF('pdc2019'!$G$8:$G$1169,'CE MINISTERIALE 2019'!$B256,'pdc2019'!$Q$8:$Q$1169)</f>
        <v>0</v>
      </c>
      <c r="E256" s="422"/>
      <c r="G256" s="441"/>
      <c r="H256" s="441"/>
      <c r="J256" s="435"/>
      <c r="L256" s="441"/>
    </row>
    <row r="257" spans="1:12" s="423" customFormat="1" ht="24.95" customHeight="1">
      <c r="A257" s="453"/>
      <c r="B257" s="449" t="s">
        <v>595</v>
      </c>
      <c r="C257" s="450" t="s">
        <v>596</v>
      </c>
      <c r="D257" s="491">
        <f>SUMIF('pdc2019'!$G$8:$G$1169,'CE MINISTERIALE 2019'!$B257,'pdc2019'!$Q$8:$Q$1169)</f>
        <v>28571000</v>
      </c>
      <c r="E257" s="422"/>
      <c r="G257" s="441"/>
      <c r="H257" s="441"/>
      <c r="J257" s="435"/>
      <c r="L257" s="441"/>
    </row>
    <row r="258" spans="1:12" s="423" customFormat="1" ht="24.95" customHeight="1">
      <c r="A258" s="453"/>
      <c r="B258" s="449" t="s">
        <v>597</v>
      </c>
      <c r="C258" s="450" t="s">
        <v>598</v>
      </c>
      <c r="D258" s="491">
        <f>SUMIF('pdc2019'!$G$8:$G$1169,'CE MINISTERIALE 2019'!$B258,'pdc2019'!$Q$8:$Q$1169)</f>
        <v>0</v>
      </c>
      <c r="E258" s="422"/>
      <c r="G258" s="441"/>
      <c r="H258" s="441"/>
      <c r="J258" s="435"/>
      <c r="L258" s="441"/>
    </row>
    <row r="259" spans="1:12" s="423" customFormat="1" ht="24.95" customHeight="1">
      <c r="A259" s="453"/>
      <c r="B259" s="446" t="s">
        <v>599</v>
      </c>
      <c r="C259" s="447" t="s">
        <v>600</v>
      </c>
      <c r="D259" s="491">
        <f>SUMIF('pdc2019'!$G$8:$G$1169,'CE MINISTERIALE 2019'!$B259,'pdc2019'!$Q$8:$Q$1169)</f>
        <v>510000</v>
      </c>
      <c r="E259" s="422"/>
      <c r="G259" s="441"/>
      <c r="H259" s="441"/>
      <c r="J259" s="435"/>
      <c r="L259" s="441"/>
    </row>
    <row r="260" spans="1:12" s="423" customFormat="1" ht="24.95" customHeight="1">
      <c r="A260" s="453"/>
      <c r="B260" s="442" t="s">
        <v>601</v>
      </c>
      <c r="C260" s="443" t="s">
        <v>602</v>
      </c>
      <c r="D260" s="438">
        <f>SUM(D261:D265)</f>
        <v>10171000</v>
      </c>
      <c r="E260" s="422"/>
      <c r="F260" s="440"/>
      <c r="G260" s="441"/>
      <c r="H260" s="441"/>
      <c r="J260" s="435"/>
      <c r="L260" s="441"/>
    </row>
    <row r="261" spans="1:12" s="423" customFormat="1" ht="24.95" customHeight="1">
      <c r="A261" s="453" t="s">
        <v>312</v>
      </c>
      <c r="B261" s="446" t="s">
        <v>603</v>
      </c>
      <c r="C261" s="447" t="s">
        <v>604</v>
      </c>
      <c r="D261" s="491">
        <f>SUMIF('pdc2019'!$G$8:$G$1169,'CE MINISTERIALE 2019'!$B261,'pdc2019'!$Q$8:$Q$1169)</f>
        <v>0</v>
      </c>
      <c r="E261" s="422"/>
      <c r="G261" s="441"/>
      <c r="H261" s="441"/>
      <c r="J261" s="435"/>
      <c r="L261" s="441"/>
    </row>
    <row r="262" spans="1:12" s="448" customFormat="1" ht="24.95" customHeight="1">
      <c r="A262" s="456"/>
      <c r="B262" s="446" t="s">
        <v>605</v>
      </c>
      <c r="C262" s="447" t="s">
        <v>606</v>
      </c>
      <c r="D262" s="491">
        <f>SUMIF('pdc2019'!$G$8:$G$1169,'CE MINISTERIALE 2019'!$B262,'pdc2019'!$Q$8:$Q$1169)</f>
        <v>971000</v>
      </c>
      <c r="E262" s="422"/>
      <c r="F262" s="423"/>
      <c r="G262" s="441"/>
      <c r="H262" s="441"/>
      <c r="J262" s="435"/>
      <c r="L262" s="441"/>
    </row>
    <row r="263" spans="1:12" s="448" customFormat="1" ht="24.95" customHeight="1">
      <c r="A263" s="456" t="s">
        <v>1594</v>
      </c>
      <c r="B263" s="446" t="s">
        <v>607</v>
      </c>
      <c r="C263" s="447" t="s">
        <v>608</v>
      </c>
      <c r="D263" s="491">
        <f>SUMIF('pdc2019'!$G$8:$G$1169,'CE MINISTERIALE 2019'!$B263,'pdc2019'!$Q$8:$Q$1169)</f>
        <v>1500000</v>
      </c>
      <c r="E263" s="422"/>
      <c r="F263" s="423"/>
      <c r="G263" s="441"/>
      <c r="H263" s="441"/>
      <c r="J263" s="435"/>
      <c r="L263" s="441"/>
    </row>
    <row r="264" spans="1:12" s="448" customFormat="1" ht="24.95" customHeight="1">
      <c r="A264" s="456"/>
      <c r="B264" s="446" t="s">
        <v>609</v>
      </c>
      <c r="C264" s="447" t="s">
        <v>610</v>
      </c>
      <c r="D264" s="491">
        <f>SUMIF('pdc2019'!$G$8:$G$1169,'CE MINISTERIALE 2019'!$B264,'pdc2019'!$Q$8:$Q$1169)</f>
        <v>3800000</v>
      </c>
      <c r="E264" s="422"/>
      <c r="F264" s="423"/>
      <c r="G264" s="441"/>
      <c r="H264" s="441"/>
      <c r="J264" s="435"/>
      <c r="L264" s="441"/>
    </row>
    <row r="265" spans="1:12" s="448" customFormat="1" ht="24.95" customHeight="1">
      <c r="A265" s="678"/>
      <c r="B265" s="446" t="s">
        <v>611</v>
      </c>
      <c r="C265" s="447" t="s">
        <v>612</v>
      </c>
      <c r="D265" s="491">
        <f>SUMIF('pdc2019'!$G$8:$G$1169,'CE MINISTERIALE 2019'!$B265,'pdc2019'!$Q$8:$Q$1169)</f>
        <v>3900000</v>
      </c>
      <c r="E265" s="422"/>
      <c r="F265" s="423"/>
      <c r="G265" s="441"/>
      <c r="H265" s="441"/>
      <c r="J265" s="435"/>
      <c r="L265" s="441"/>
    </row>
    <row r="266" spans="1:12" s="448" customFormat="1" ht="24.95" customHeight="1">
      <c r="A266" s="456"/>
      <c r="B266" s="442" t="s">
        <v>613</v>
      </c>
      <c r="C266" s="443" t="s">
        <v>614</v>
      </c>
      <c r="D266" s="438">
        <f>SUM(D267:D272)</f>
        <v>2817000</v>
      </c>
      <c r="E266" s="422"/>
      <c r="F266" s="440"/>
      <c r="G266" s="441"/>
      <c r="H266" s="441"/>
      <c r="J266" s="435"/>
      <c r="L266" s="441"/>
    </row>
    <row r="267" spans="1:12" s="448" customFormat="1" ht="24.95" customHeight="1">
      <c r="A267" s="456" t="s">
        <v>312</v>
      </c>
      <c r="B267" s="446" t="s">
        <v>615</v>
      </c>
      <c r="C267" s="447" t="s">
        <v>616</v>
      </c>
      <c r="D267" s="491">
        <f>SUMIF('pdc2019'!$G$8:$G$1169,'CE MINISTERIALE 2019'!$B267,'pdc2019'!$Q$8:$Q$1169)</f>
        <v>0</v>
      </c>
      <c r="E267" s="422"/>
      <c r="F267" s="423"/>
      <c r="G267" s="441"/>
      <c r="H267" s="441"/>
      <c r="J267" s="435"/>
      <c r="L267" s="441"/>
    </row>
    <row r="268" spans="1:12" s="448" customFormat="1" ht="24.95" customHeight="1">
      <c r="A268" s="456"/>
      <c r="B268" s="446" t="s">
        <v>617</v>
      </c>
      <c r="C268" s="447" t="s">
        <v>618</v>
      </c>
      <c r="D268" s="491">
        <f>SUMIF('pdc2019'!$G$8:$G$1169,'CE MINISTERIALE 2019'!$B268,'pdc2019'!$Q$8:$Q$1169)</f>
        <v>85000</v>
      </c>
      <c r="E268" s="422"/>
      <c r="F268" s="423"/>
      <c r="G268" s="441"/>
      <c r="H268" s="441"/>
      <c r="J268" s="435"/>
      <c r="L268" s="441"/>
    </row>
    <row r="269" spans="1:12" s="448" customFormat="1" ht="24.95" customHeight="1">
      <c r="A269" s="456" t="s">
        <v>1589</v>
      </c>
      <c r="B269" s="446" t="s">
        <v>619</v>
      </c>
      <c r="C269" s="447" t="s">
        <v>620</v>
      </c>
      <c r="D269" s="491">
        <f>SUMIF('pdc2019'!$G$8:$G$1169,'CE MINISTERIALE 2019'!$B269,'pdc2019'!$Q$8:$Q$1169)</f>
        <v>1278000</v>
      </c>
      <c r="E269" s="422"/>
      <c r="F269" s="423"/>
      <c r="G269" s="441"/>
      <c r="H269" s="441"/>
      <c r="J269" s="435"/>
      <c r="L269" s="441"/>
    </row>
    <row r="270" spans="1:12" s="448" customFormat="1" ht="24.95" customHeight="1">
      <c r="A270" s="456"/>
      <c r="B270" s="446" t="s">
        <v>621</v>
      </c>
      <c r="C270" s="447" t="s">
        <v>622</v>
      </c>
      <c r="D270" s="491">
        <f>SUMIF('pdc2019'!$G$8:$G$1169,'CE MINISTERIALE 2019'!$B270,'pdc2019'!$Q$8:$Q$1169)</f>
        <v>1454000</v>
      </c>
      <c r="E270" s="422"/>
      <c r="F270" s="423"/>
      <c r="G270" s="441"/>
      <c r="H270" s="441"/>
      <c r="J270" s="435"/>
      <c r="L270" s="441"/>
    </row>
    <row r="271" spans="1:12" s="448" customFormat="1" ht="24.95" customHeight="1">
      <c r="A271" s="678"/>
      <c r="B271" s="446" t="s">
        <v>623</v>
      </c>
      <c r="C271" s="447" t="s">
        <v>624</v>
      </c>
      <c r="D271" s="491">
        <f>SUMIF('pdc2019'!$G$8:$G$1169,'CE MINISTERIALE 2019'!$B271,'pdc2019'!$Q$8:$Q$1169)</f>
        <v>0</v>
      </c>
      <c r="E271" s="422"/>
      <c r="F271" s="423"/>
      <c r="G271" s="441"/>
      <c r="H271" s="441"/>
      <c r="J271" s="435"/>
      <c r="L271" s="441"/>
    </row>
    <row r="272" spans="1:12" s="448" customFormat="1" ht="24.95" customHeight="1">
      <c r="A272" s="456"/>
      <c r="B272" s="446" t="s">
        <v>625</v>
      </c>
      <c r="C272" s="447" t="s">
        <v>626</v>
      </c>
      <c r="D272" s="491">
        <f>SUMIF('pdc2019'!$G$8:$G$1169,'CE MINISTERIALE 2019'!$B272,'pdc2019'!$Q$8:$Q$1169)</f>
        <v>0</v>
      </c>
      <c r="E272" s="422"/>
      <c r="F272" s="423"/>
      <c r="G272" s="441"/>
      <c r="H272" s="441"/>
      <c r="J272" s="435"/>
      <c r="L272" s="441"/>
    </row>
    <row r="273" spans="1:12" s="448" customFormat="1" ht="24.95" customHeight="1">
      <c r="A273" s="456"/>
      <c r="B273" s="442" t="s">
        <v>627</v>
      </c>
      <c r="C273" s="443" t="s">
        <v>628</v>
      </c>
      <c r="D273" s="438">
        <f>SUM(D274:D278)</f>
        <v>532000</v>
      </c>
      <c r="E273" s="422"/>
      <c r="F273" s="440"/>
      <c r="G273" s="441"/>
      <c r="H273" s="441"/>
      <c r="J273" s="435"/>
      <c r="L273" s="441"/>
    </row>
    <row r="274" spans="1:12" s="448" customFormat="1" ht="24.95" customHeight="1">
      <c r="A274" s="456" t="s">
        <v>312</v>
      </c>
      <c r="B274" s="446" t="s">
        <v>629</v>
      </c>
      <c r="C274" s="447" t="s">
        <v>630</v>
      </c>
      <c r="D274" s="491">
        <f>SUMIF('pdc2019'!$G$8:$G$1169,'CE MINISTERIALE 2019'!$B274,'pdc2019'!$Q$8:$Q$1169)</f>
        <v>0</v>
      </c>
      <c r="E274" s="422"/>
      <c r="F274" s="423"/>
      <c r="G274" s="441"/>
      <c r="H274" s="441"/>
      <c r="J274" s="435"/>
      <c r="L274" s="441"/>
    </row>
    <row r="275" spans="1:12" s="448" customFormat="1" ht="24.95" customHeight="1">
      <c r="A275" s="456"/>
      <c r="B275" s="446" t="s">
        <v>631</v>
      </c>
      <c r="C275" s="447" t="s">
        <v>632</v>
      </c>
      <c r="D275" s="491">
        <f>SUMIF('pdc2019'!$G$8:$G$1169,'CE MINISTERIALE 2019'!$B275,'pdc2019'!$Q$8:$Q$1169)</f>
        <v>0</v>
      </c>
      <c r="E275" s="422"/>
      <c r="F275" s="423"/>
      <c r="G275" s="441"/>
      <c r="H275" s="441"/>
      <c r="J275" s="435"/>
      <c r="L275" s="441"/>
    </row>
    <row r="276" spans="1:12" s="448" customFormat="1" ht="24.95" customHeight="1">
      <c r="A276" s="456" t="s">
        <v>1589</v>
      </c>
      <c r="B276" s="446" t="s">
        <v>633</v>
      </c>
      <c r="C276" s="447" t="s">
        <v>634</v>
      </c>
      <c r="D276" s="491">
        <f>SUMIF('pdc2019'!$G$8:$G$1169,'CE MINISTERIALE 2019'!$B276,'pdc2019'!$Q$8:$Q$1169)</f>
        <v>494000</v>
      </c>
      <c r="E276" s="422"/>
      <c r="F276" s="423"/>
      <c r="G276" s="441"/>
      <c r="H276" s="441"/>
      <c r="J276" s="435"/>
      <c r="L276" s="441"/>
    </row>
    <row r="277" spans="1:12" s="448" customFormat="1" ht="24.95" customHeight="1">
      <c r="A277" s="456"/>
      <c r="B277" s="446" t="s">
        <v>635</v>
      </c>
      <c r="C277" s="447" t="s">
        <v>641</v>
      </c>
      <c r="D277" s="491">
        <f>SUMIF('pdc2019'!$G$8:$G$1169,'CE MINISTERIALE 2019'!$B277,'pdc2019'!$Q$8:$Q$1169)</f>
        <v>38000</v>
      </c>
      <c r="E277" s="422"/>
      <c r="F277" s="423"/>
      <c r="G277" s="441"/>
      <c r="H277" s="441"/>
      <c r="J277" s="435"/>
      <c r="L277" s="441"/>
    </row>
    <row r="278" spans="1:12" s="448" customFormat="1" ht="24.95" customHeight="1">
      <c r="A278" s="456"/>
      <c r="B278" s="446" t="s">
        <v>642</v>
      </c>
      <c r="C278" s="447" t="s">
        <v>643</v>
      </c>
      <c r="D278" s="491">
        <f>SUMIF('pdc2019'!$G$8:$G$1169,'CE MINISTERIALE 2019'!$B278,'pdc2019'!$Q$8:$Q$1169)</f>
        <v>0</v>
      </c>
      <c r="E278" s="422"/>
      <c r="F278" s="423"/>
      <c r="G278" s="441"/>
      <c r="H278" s="441"/>
      <c r="J278" s="435"/>
      <c r="L278" s="441"/>
    </row>
    <row r="279" spans="1:12" s="448" customFormat="1" ht="24.95" customHeight="1">
      <c r="A279" s="456"/>
      <c r="B279" s="442" t="s">
        <v>644</v>
      </c>
      <c r="C279" s="443" t="s">
        <v>645</v>
      </c>
      <c r="D279" s="438">
        <f>SUM(D280:D283)</f>
        <v>33093000</v>
      </c>
      <c r="E279" s="422"/>
      <c r="F279" s="440"/>
      <c r="G279" s="441"/>
      <c r="H279" s="441"/>
      <c r="J279" s="435"/>
      <c r="L279" s="441"/>
    </row>
    <row r="280" spans="1:12" s="448" customFormat="1" ht="24.95" customHeight="1">
      <c r="A280" s="456" t="s">
        <v>312</v>
      </c>
      <c r="B280" s="446" t="s">
        <v>646</v>
      </c>
      <c r="C280" s="447" t="s">
        <v>647</v>
      </c>
      <c r="D280" s="491">
        <f>SUMIF('pdc2019'!$G$8:$G$1169,'CE MINISTERIALE 2019'!$B280,'pdc2019'!$Q$8:$Q$1169)</f>
        <v>0</v>
      </c>
      <c r="E280" s="422"/>
      <c r="F280" s="423"/>
      <c r="G280" s="441"/>
      <c r="H280" s="441"/>
      <c r="J280" s="435"/>
      <c r="L280" s="441"/>
    </row>
    <row r="281" spans="1:12" s="448" customFormat="1" ht="24.95" customHeight="1">
      <c r="A281" s="456"/>
      <c r="B281" s="446" t="s">
        <v>648</v>
      </c>
      <c r="C281" s="447" t="s">
        <v>649</v>
      </c>
      <c r="D281" s="491">
        <f>SUMIF('pdc2019'!$G$8:$G$1169,'CE MINISTERIALE 2019'!$B281,'pdc2019'!$Q$8:$Q$1169)</f>
        <v>0</v>
      </c>
      <c r="E281" s="422"/>
      <c r="F281" s="423"/>
      <c r="G281" s="441"/>
      <c r="H281" s="441"/>
      <c r="J281" s="435"/>
      <c r="L281" s="441"/>
    </row>
    <row r="282" spans="1:12" s="448" customFormat="1" ht="24.95" customHeight="1">
      <c r="A282" s="456" t="s">
        <v>1589</v>
      </c>
      <c r="B282" s="446" t="s">
        <v>650</v>
      </c>
      <c r="C282" s="447" t="s">
        <v>651</v>
      </c>
      <c r="D282" s="491">
        <f>SUMIF('pdc2019'!$G$8:$G$1169,'CE MINISTERIALE 2019'!$B282,'pdc2019'!$Q$8:$Q$1169)</f>
        <v>733000</v>
      </c>
      <c r="E282" s="422"/>
      <c r="F282" s="423"/>
      <c r="G282" s="441"/>
      <c r="H282" s="441"/>
      <c r="J282" s="435"/>
      <c r="L282" s="441"/>
    </row>
    <row r="283" spans="1:12" s="448" customFormat="1" ht="24.95" customHeight="1">
      <c r="A283" s="456"/>
      <c r="B283" s="446" t="s">
        <v>652</v>
      </c>
      <c r="C283" s="447" t="s">
        <v>653</v>
      </c>
      <c r="D283" s="491">
        <f>SUMIF('pdc2019'!$G$8:$G$1169,'CE MINISTERIALE 2019'!$B283,'pdc2019'!$Q$8:$Q$1169)</f>
        <v>32360000</v>
      </c>
      <c r="E283" s="422"/>
      <c r="F283" s="423"/>
      <c r="G283" s="441"/>
      <c r="H283" s="441"/>
      <c r="J283" s="435"/>
      <c r="L283" s="441"/>
    </row>
    <row r="284" spans="1:12" s="448" customFormat="1" ht="24.95" customHeight="1">
      <c r="A284" s="456"/>
      <c r="B284" s="442" t="s">
        <v>654</v>
      </c>
      <c r="C284" s="443" t="s">
        <v>655</v>
      </c>
      <c r="D284" s="438">
        <f>+D285+D288+D290+D291+D292+D289</f>
        <v>53623000</v>
      </c>
      <c r="E284" s="422"/>
      <c r="F284" s="440"/>
      <c r="G284" s="441"/>
      <c r="H284" s="441"/>
      <c r="J284" s="435"/>
      <c r="L284" s="441"/>
    </row>
    <row r="285" spans="1:12" s="448" customFormat="1" ht="24.95" customHeight="1">
      <c r="A285" s="456" t="s">
        <v>312</v>
      </c>
      <c r="B285" s="446" t="s">
        <v>656</v>
      </c>
      <c r="C285" s="447" t="s">
        <v>657</v>
      </c>
      <c r="D285" s="438">
        <f>+D286+D287</f>
        <v>0</v>
      </c>
      <c r="E285" s="422"/>
      <c r="F285" s="440"/>
      <c r="G285" s="441"/>
      <c r="H285" s="441"/>
      <c r="J285" s="435"/>
      <c r="L285" s="441"/>
    </row>
    <row r="286" spans="1:12" s="423" customFormat="1" ht="24.95" customHeight="1">
      <c r="A286" s="453" t="s">
        <v>312</v>
      </c>
      <c r="B286" s="449" t="s">
        <v>4788</v>
      </c>
      <c r="C286" s="450" t="s">
        <v>4789</v>
      </c>
      <c r="D286" s="491">
        <f>SUMIF('pdc2019'!$G$8:$G$1169,'CE MINISTERIALE 2019'!$B286,'pdc2019'!$Q$8:$Q$1169)</f>
        <v>0</v>
      </c>
      <c r="E286" s="422"/>
      <c r="G286" s="441"/>
      <c r="H286" s="441"/>
      <c r="J286" s="435"/>
      <c r="L286" s="441"/>
    </row>
    <row r="287" spans="1:12" s="423" customFormat="1" ht="24.95" customHeight="1">
      <c r="A287" s="453" t="s">
        <v>312</v>
      </c>
      <c r="B287" s="449" t="s">
        <v>4790</v>
      </c>
      <c r="C287" s="450" t="s">
        <v>4791</v>
      </c>
      <c r="D287" s="491">
        <f>SUMIF('pdc2019'!$G$8:$G$1169,'CE MINISTERIALE 2019'!$B287,'pdc2019'!$Q$8:$Q$1169)</f>
        <v>0</v>
      </c>
      <c r="E287" s="422"/>
      <c r="G287" s="441"/>
      <c r="H287" s="441"/>
      <c r="J287" s="435"/>
      <c r="L287" s="441"/>
    </row>
    <row r="288" spans="1:12" s="448" customFormat="1" ht="24.95" customHeight="1">
      <c r="A288" s="456"/>
      <c r="B288" s="446" t="s">
        <v>658</v>
      </c>
      <c r="C288" s="447" t="s">
        <v>659</v>
      </c>
      <c r="D288" s="491">
        <f>SUMIF('pdc2019'!$G$8:$G$1169,'CE MINISTERIALE 2019'!$B288,'pdc2019'!$Q$8:$Q$1169)</f>
        <v>28195000</v>
      </c>
      <c r="E288" s="422"/>
      <c r="F288" s="423"/>
      <c r="G288" s="441"/>
      <c r="H288" s="441"/>
      <c r="J288" s="435"/>
      <c r="L288" s="441"/>
    </row>
    <row r="289" spans="1:12" s="448" customFormat="1" ht="24.95" customHeight="1">
      <c r="A289" s="456" t="s">
        <v>1589</v>
      </c>
      <c r="B289" s="446" t="s">
        <v>4792</v>
      </c>
      <c r="C289" s="447" t="s">
        <v>4793</v>
      </c>
      <c r="D289" s="491">
        <f>SUMIF('pdc2019'!$G$8:$G$1169,'CE MINISTERIALE 2019'!$B289,'pdc2019'!$Q$8:$Q$1169)</f>
        <v>0</v>
      </c>
      <c r="E289" s="422"/>
      <c r="F289" s="423"/>
      <c r="G289" s="441"/>
      <c r="H289" s="441"/>
      <c r="J289" s="435"/>
      <c r="L289" s="441"/>
    </row>
    <row r="290" spans="1:12" s="448" customFormat="1" ht="24.95" customHeight="1">
      <c r="A290" s="456" t="s">
        <v>1594</v>
      </c>
      <c r="B290" s="446" t="s">
        <v>660</v>
      </c>
      <c r="C290" s="447" t="s">
        <v>4794</v>
      </c>
      <c r="D290" s="491">
        <f>SUMIF('pdc2019'!$G$8:$G$1169,'CE MINISTERIALE 2019'!$B290,'pdc2019'!$Q$8:$Q$1169)</f>
        <v>527000</v>
      </c>
      <c r="E290" s="422"/>
      <c r="F290" s="423"/>
      <c r="G290" s="441"/>
      <c r="H290" s="441"/>
      <c r="J290" s="435"/>
      <c r="L290" s="441"/>
    </row>
    <row r="291" spans="1:12" s="448" customFormat="1" ht="24.95" customHeight="1">
      <c r="A291" s="456"/>
      <c r="B291" s="446" t="s">
        <v>661</v>
      </c>
      <c r="C291" s="447" t="s">
        <v>4795</v>
      </c>
      <c r="D291" s="491">
        <f>SUMIF('pdc2019'!$G$8:$G$1169,'CE MINISTERIALE 2019'!$B291,'pdc2019'!$Q$8:$Q$1169)</f>
        <v>23096000</v>
      </c>
      <c r="E291" s="422"/>
      <c r="F291" s="423"/>
      <c r="G291" s="441"/>
      <c r="H291" s="441"/>
      <c r="J291" s="435"/>
      <c r="L291" s="441"/>
    </row>
    <row r="292" spans="1:12" s="448" customFormat="1" ht="24.95" customHeight="1">
      <c r="A292" s="456"/>
      <c r="B292" s="446" t="s">
        <v>662</v>
      </c>
      <c r="C292" s="447" t="s">
        <v>4796</v>
      </c>
      <c r="D292" s="491">
        <f>SUMIF('pdc2019'!$G$8:$G$1169,'CE MINISTERIALE 2019'!$B292,'pdc2019'!$Q$8:$Q$1169)</f>
        <v>1805000</v>
      </c>
      <c r="E292" s="422"/>
      <c r="F292" s="423"/>
      <c r="G292" s="441"/>
      <c r="H292" s="441"/>
      <c r="J292" s="435"/>
      <c r="L292" s="441"/>
    </row>
    <row r="293" spans="1:12" s="448" customFormat="1" ht="24.95" customHeight="1">
      <c r="A293" s="678"/>
      <c r="B293" s="442" t="s">
        <v>663</v>
      </c>
      <c r="C293" s="443" t="s">
        <v>664</v>
      </c>
      <c r="D293" s="438">
        <f>SUM(D294:D300)</f>
        <v>2532000</v>
      </c>
      <c r="E293" s="422"/>
      <c r="F293" s="440"/>
      <c r="G293" s="441"/>
      <c r="H293" s="441"/>
      <c r="J293" s="435"/>
      <c r="L293" s="441"/>
    </row>
    <row r="294" spans="1:12" s="448" customFormat="1" ht="24.95" customHeight="1">
      <c r="A294" s="456"/>
      <c r="B294" s="446" t="s">
        <v>665</v>
      </c>
      <c r="C294" s="447" t="s">
        <v>666</v>
      </c>
      <c r="D294" s="491">
        <f>SUMIF('pdc2019'!$G$8:$G$1169,'CE MINISTERIALE 2019'!$B294,'pdc2019'!$Q$8:$Q$1169)</f>
        <v>0</v>
      </c>
      <c r="E294" s="422"/>
      <c r="F294" s="423"/>
      <c r="G294" s="441"/>
      <c r="H294" s="441"/>
      <c r="J294" s="435"/>
      <c r="L294" s="441"/>
    </row>
    <row r="295" spans="1:12" s="448" customFormat="1" ht="24.95" customHeight="1">
      <c r="A295" s="456"/>
      <c r="B295" s="446" t="s">
        <v>667</v>
      </c>
      <c r="C295" s="447" t="s">
        <v>668</v>
      </c>
      <c r="D295" s="491">
        <f>SUMIF('pdc2019'!$G$8:$G$1169,'CE MINISTERIALE 2019'!$B295,'pdc2019'!$Q$8:$Q$1169)</f>
        <v>2270000</v>
      </c>
      <c r="E295" s="422"/>
      <c r="F295" s="423"/>
      <c r="G295" s="441"/>
      <c r="H295" s="441"/>
      <c r="J295" s="435"/>
      <c r="L295" s="441"/>
    </row>
    <row r="296" spans="1:12" s="448" customFormat="1" ht="24.95" customHeight="1">
      <c r="A296" s="456"/>
      <c r="B296" s="446" t="s">
        <v>669</v>
      </c>
      <c r="C296" s="447" t="s">
        <v>328</v>
      </c>
      <c r="D296" s="491">
        <f>SUMIF('pdc2019'!$G$8:$G$1169,'CE MINISTERIALE 2019'!$B296,'pdc2019'!$Q$8:$Q$1169)</f>
        <v>0</v>
      </c>
      <c r="E296" s="422"/>
      <c r="F296" s="423"/>
      <c r="G296" s="441"/>
      <c r="H296" s="441"/>
      <c r="J296" s="435"/>
      <c r="L296" s="441"/>
    </row>
    <row r="297" spans="1:12" s="448" customFormat="1" ht="24.95" customHeight="1">
      <c r="A297" s="456"/>
      <c r="B297" s="446" t="s">
        <v>329</v>
      </c>
      <c r="C297" s="447" t="s">
        <v>330</v>
      </c>
      <c r="D297" s="491">
        <f>SUMIF('pdc2019'!$G$8:$G$1169,'CE MINISTERIALE 2019'!$B297,'pdc2019'!$Q$8:$Q$1169)</f>
        <v>120000</v>
      </c>
      <c r="E297" s="422"/>
      <c r="F297" s="423"/>
      <c r="G297" s="441"/>
      <c r="H297" s="441"/>
      <c r="J297" s="435"/>
      <c r="L297" s="441"/>
    </row>
    <row r="298" spans="1:12" s="448" customFormat="1" ht="24.95" customHeight="1">
      <c r="A298" s="456" t="s">
        <v>312</v>
      </c>
      <c r="B298" s="446" t="s">
        <v>331</v>
      </c>
      <c r="C298" s="447" t="s">
        <v>332</v>
      </c>
      <c r="D298" s="491">
        <f>SUMIF('pdc2019'!$G$8:$G$1169,'CE MINISTERIALE 2019'!$B298,'pdc2019'!$Q$8:$Q$1169)</f>
        <v>0</v>
      </c>
      <c r="E298" s="422"/>
      <c r="F298" s="423"/>
      <c r="G298" s="441"/>
      <c r="H298" s="441"/>
      <c r="J298" s="435"/>
      <c r="L298" s="441"/>
    </row>
    <row r="299" spans="1:12" s="448" customFormat="1" ht="24.95" customHeight="1">
      <c r="A299" s="456"/>
      <c r="B299" s="446" t="s">
        <v>333</v>
      </c>
      <c r="C299" s="447" t="s">
        <v>334</v>
      </c>
      <c r="D299" s="491">
        <f>SUMIF('pdc2019'!$G$8:$G$1169,'CE MINISTERIALE 2019'!$B299,'pdc2019'!$Q$8:$Q$1169)</f>
        <v>142000</v>
      </c>
      <c r="E299" s="422"/>
      <c r="F299" s="423"/>
      <c r="G299" s="441"/>
      <c r="H299" s="441"/>
      <c r="J299" s="435"/>
      <c r="L299" s="441"/>
    </row>
    <row r="300" spans="1:12" s="448" customFormat="1" ht="24.95" customHeight="1">
      <c r="A300" s="456" t="s">
        <v>312</v>
      </c>
      <c r="B300" s="446" t="s">
        <v>335</v>
      </c>
      <c r="C300" s="447" t="s">
        <v>336</v>
      </c>
      <c r="D300" s="491">
        <f>SUMIF('pdc2019'!$G$8:$G$1169,'CE MINISTERIALE 2019'!$B300,'pdc2019'!$Q$8:$Q$1169)</f>
        <v>0</v>
      </c>
      <c r="E300" s="422"/>
      <c r="F300" s="423"/>
      <c r="G300" s="441"/>
      <c r="H300" s="441"/>
      <c r="J300" s="435"/>
      <c r="L300" s="441"/>
    </row>
    <row r="301" spans="1:12" s="448" customFormat="1" ht="24.95" customHeight="1">
      <c r="A301" s="456"/>
      <c r="B301" s="442" t="s">
        <v>337</v>
      </c>
      <c r="C301" s="443" t="s">
        <v>338</v>
      </c>
      <c r="D301" s="438">
        <f>SUM(D302:D308)</f>
        <v>5903000</v>
      </c>
      <c r="E301" s="422"/>
      <c r="F301" s="440"/>
      <c r="G301" s="441"/>
      <c r="H301" s="441"/>
      <c r="J301" s="435"/>
      <c r="L301" s="441"/>
    </row>
    <row r="302" spans="1:12" s="448" customFormat="1" ht="24.95" customHeight="1">
      <c r="A302" s="678"/>
      <c r="B302" s="446" t="s">
        <v>339</v>
      </c>
      <c r="C302" s="447" t="s">
        <v>340</v>
      </c>
      <c r="D302" s="491">
        <f>SUMIF('pdc2019'!$G$8:$G$1169,'CE MINISTERIALE 2019'!$B302,'pdc2019'!$Q$8:$Q$1169)</f>
        <v>730000</v>
      </c>
      <c r="E302" s="422"/>
      <c r="F302" s="423"/>
      <c r="G302" s="441"/>
      <c r="H302" s="441"/>
      <c r="J302" s="435"/>
      <c r="L302" s="441"/>
    </row>
    <row r="303" spans="1:12" s="448" customFormat="1" ht="24.95" customHeight="1">
      <c r="A303" s="678"/>
      <c r="B303" s="446" t="s">
        <v>341</v>
      </c>
      <c r="C303" s="447" t="s">
        <v>342</v>
      </c>
      <c r="D303" s="491">
        <f>SUMIF('pdc2019'!$G$8:$G$1169,'CE MINISTERIALE 2019'!$B303,'pdc2019'!$Q$8:$Q$1169)</f>
        <v>232000</v>
      </c>
      <c r="E303" s="422"/>
      <c r="F303" s="423"/>
      <c r="G303" s="441"/>
      <c r="H303" s="441"/>
      <c r="J303" s="435"/>
      <c r="L303" s="441"/>
    </row>
    <row r="304" spans="1:12" s="448" customFormat="1" ht="24.95" customHeight="1">
      <c r="A304" s="456"/>
      <c r="B304" s="446" t="s">
        <v>343</v>
      </c>
      <c r="C304" s="447" t="s">
        <v>344</v>
      </c>
      <c r="D304" s="491">
        <f>SUMIF('pdc2019'!$G$8:$G$1169,'CE MINISTERIALE 2019'!$B304,'pdc2019'!$Q$8:$Q$1169)</f>
        <v>0</v>
      </c>
      <c r="E304" s="422"/>
      <c r="F304" s="423"/>
      <c r="G304" s="441"/>
      <c r="H304" s="441"/>
      <c r="J304" s="435"/>
      <c r="L304" s="441"/>
    </row>
    <row r="305" spans="1:12" s="448" customFormat="1" ht="24.95" customHeight="1">
      <c r="A305" s="678"/>
      <c r="B305" s="446" t="s">
        <v>345</v>
      </c>
      <c r="C305" s="447" t="s">
        <v>346</v>
      </c>
      <c r="D305" s="491">
        <f>SUMIF('pdc2019'!$G$8:$G$1169,'CE MINISTERIALE 2019'!$B305,'pdc2019'!$Q$8:$Q$1169)</f>
        <v>0</v>
      </c>
      <c r="E305" s="422"/>
      <c r="F305" s="423"/>
      <c r="G305" s="441"/>
      <c r="H305" s="441"/>
      <c r="J305" s="435"/>
      <c r="L305" s="441"/>
    </row>
    <row r="306" spans="1:12" s="448" customFormat="1" ht="24.95" customHeight="1">
      <c r="A306" s="678"/>
      <c r="B306" s="446" t="s">
        <v>347</v>
      </c>
      <c r="C306" s="447" t="s">
        <v>348</v>
      </c>
      <c r="D306" s="491">
        <f>SUMIF('pdc2019'!$G$8:$G$1169,'CE MINISTERIALE 2019'!$B306,'pdc2019'!$Q$8:$Q$1169)</f>
        <v>4941000</v>
      </c>
      <c r="E306" s="422"/>
      <c r="F306" s="423"/>
      <c r="G306" s="441"/>
      <c r="H306" s="441"/>
      <c r="J306" s="435"/>
      <c r="L306" s="441"/>
    </row>
    <row r="307" spans="1:12" s="448" customFormat="1" ht="24.95" customHeight="1">
      <c r="A307" s="678" t="s">
        <v>312</v>
      </c>
      <c r="B307" s="446" t="s">
        <v>349</v>
      </c>
      <c r="C307" s="447" t="s">
        <v>1306</v>
      </c>
      <c r="D307" s="491">
        <f>SUMIF('pdc2019'!$G$8:$G$1169,'CE MINISTERIALE 2019'!$B307,'pdc2019'!$Q$8:$Q$1169)</f>
        <v>0</v>
      </c>
      <c r="E307" s="422"/>
      <c r="F307" s="423"/>
      <c r="G307" s="441"/>
      <c r="H307" s="441"/>
      <c r="J307" s="435"/>
      <c r="L307" s="441"/>
    </row>
    <row r="308" spans="1:12" s="457" customFormat="1" ht="24.95" customHeight="1">
      <c r="A308" s="456" t="s">
        <v>312</v>
      </c>
      <c r="B308" s="446" t="s">
        <v>4797</v>
      </c>
      <c r="C308" s="447" t="s">
        <v>4798</v>
      </c>
      <c r="D308" s="491">
        <f>SUMIF('pdc2019'!$G$8:$G$1169,'CE MINISTERIALE 2019'!$B308,'pdc2019'!$Q$8:$Q$1169)</f>
        <v>0</v>
      </c>
      <c r="E308" s="422"/>
      <c r="F308" s="422"/>
      <c r="G308" s="463"/>
      <c r="H308" s="463"/>
      <c r="J308" s="435"/>
      <c r="L308" s="441"/>
    </row>
    <row r="309" spans="1:12" s="448" customFormat="1" ht="24.95" customHeight="1">
      <c r="A309" s="456"/>
      <c r="B309" s="442" t="s">
        <v>1307</v>
      </c>
      <c r="C309" s="443" t="s">
        <v>1308</v>
      </c>
      <c r="D309" s="438">
        <f>SUM(D310:D312,D319)</f>
        <v>2451000</v>
      </c>
      <c r="E309" s="422"/>
      <c r="F309" s="440"/>
      <c r="G309" s="441"/>
      <c r="H309" s="441"/>
      <c r="J309" s="435"/>
      <c r="L309" s="441"/>
    </row>
    <row r="310" spans="1:12" s="423" customFormat="1" ht="24.95" customHeight="1">
      <c r="A310" s="453" t="s">
        <v>312</v>
      </c>
      <c r="B310" s="446" t="s">
        <v>1309</v>
      </c>
      <c r="C310" s="447" t="s">
        <v>4799</v>
      </c>
      <c r="D310" s="491">
        <f>SUMIF('pdc2019'!$G$8:$G$1169,'CE MINISTERIALE 2019'!$B310,'pdc2019'!$Q$8:$Q$1169)</f>
        <v>0</v>
      </c>
      <c r="E310" s="422"/>
      <c r="G310" s="441"/>
      <c r="H310" s="441"/>
      <c r="J310" s="435"/>
      <c r="L310" s="441"/>
    </row>
    <row r="311" spans="1:12" s="423" customFormat="1" ht="24.95" customHeight="1">
      <c r="A311" s="453"/>
      <c r="B311" s="446" t="s">
        <v>1310</v>
      </c>
      <c r="C311" s="447" t="s">
        <v>4800</v>
      </c>
      <c r="D311" s="491">
        <f>SUMIF('pdc2019'!$G$8:$G$1169,'CE MINISTERIALE 2019'!$B311,'pdc2019'!$Q$8:$Q$1169)</f>
        <v>0</v>
      </c>
      <c r="E311" s="422"/>
      <c r="G311" s="441"/>
      <c r="H311" s="441"/>
      <c r="J311" s="435"/>
      <c r="L311" s="441"/>
    </row>
    <row r="312" spans="1:12" s="423" customFormat="1" ht="24.95" customHeight="1">
      <c r="A312" s="453"/>
      <c r="B312" s="446" t="s">
        <v>1311</v>
      </c>
      <c r="C312" s="447" t="s">
        <v>4801</v>
      </c>
      <c r="D312" s="438">
        <f>SUM(D313:D318)</f>
        <v>2451000</v>
      </c>
      <c r="E312" s="422"/>
      <c r="F312" s="440"/>
      <c r="G312" s="441"/>
      <c r="H312" s="441"/>
      <c r="J312" s="435"/>
      <c r="L312" s="441"/>
    </row>
    <row r="313" spans="1:12" s="423" customFormat="1" ht="24.95" customHeight="1">
      <c r="A313" s="453"/>
      <c r="B313" s="449" t="s">
        <v>1312</v>
      </c>
      <c r="C313" s="450" t="s">
        <v>1313</v>
      </c>
      <c r="D313" s="491">
        <f>SUMIF('pdc2019'!$G$8:$G$1169,'CE MINISTERIALE 2019'!$B313,'pdc2019'!$Q$8:$Q$1169)</f>
        <v>0</v>
      </c>
      <c r="E313" s="422"/>
      <c r="G313" s="441"/>
      <c r="H313" s="441"/>
      <c r="J313" s="435"/>
      <c r="L313" s="441"/>
    </row>
    <row r="314" spans="1:12" s="423" customFormat="1" ht="24.95" customHeight="1">
      <c r="A314" s="453"/>
      <c r="B314" s="449" t="s">
        <v>1314</v>
      </c>
      <c r="C314" s="450" t="s">
        <v>1315</v>
      </c>
      <c r="D314" s="491">
        <f>SUMIF('pdc2019'!$G$8:$G$1169,'CE MINISTERIALE 2019'!$B314,'pdc2019'!$Q$8:$Q$1169)</f>
        <v>14000</v>
      </c>
      <c r="E314" s="422"/>
      <c r="G314" s="441"/>
      <c r="H314" s="441"/>
      <c r="J314" s="435"/>
      <c r="L314" s="441"/>
    </row>
    <row r="315" spans="1:12" s="423" customFormat="1" ht="24.95" customHeight="1">
      <c r="A315" s="453"/>
      <c r="B315" s="449" t="s">
        <v>1316</v>
      </c>
      <c r="C315" s="450" t="s">
        <v>4802</v>
      </c>
      <c r="D315" s="491">
        <f>SUMIF('pdc2019'!$G$8:$G$1169,'CE MINISTERIALE 2019'!$B315,'pdc2019'!$Q$8:$Q$1169)</f>
        <v>0</v>
      </c>
      <c r="E315" s="422"/>
      <c r="G315" s="441"/>
      <c r="H315" s="441"/>
      <c r="J315" s="435"/>
      <c r="L315" s="441"/>
    </row>
    <row r="316" spans="1:12" s="423" customFormat="1" ht="24.95" customHeight="1">
      <c r="A316" s="453"/>
      <c r="B316" s="449" t="s">
        <v>1317</v>
      </c>
      <c r="C316" s="450" t="s">
        <v>1318</v>
      </c>
      <c r="D316" s="491">
        <f>SUMIF('pdc2019'!$G$8:$G$1169,'CE MINISTERIALE 2019'!$B316,'pdc2019'!$Q$8:$Q$1169)</f>
        <v>0</v>
      </c>
      <c r="E316" s="422"/>
      <c r="G316" s="441"/>
      <c r="H316" s="441"/>
      <c r="J316" s="435"/>
      <c r="L316" s="441"/>
    </row>
    <row r="317" spans="1:12" s="423" customFormat="1" ht="24.95" customHeight="1">
      <c r="A317" s="453"/>
      <c r="B317" s="449" t="s">
        <v>1319</v>
      </c>
      <c r="C317" s="450" t="s">
        <v>1320</v>
      </c>
      <c r="D317" s="491">
        <f>SUMIF('pdc2019'!$G$8:$G$1169,'CE MINISTERIALE 2019'!$B317,'pdc2019'!$Q$8:$Q$1169)</f>
        <v>2004000</v>
      </c>
      <c r="E317" s="422"/>
      <c r="G317" s="441"/>
      <c r="H317" s="441"/>
      <c r="J317" s="435"/>
      <c r="L317" s="441"/>
    </row>
    <row r="318" spans="1:12" s="423" customFormat="1" ht="24.95" customHeight="1">
      <c r="A318" s="453"/>
      <c r="B318" s="449" t="s">
        <v>1321</v>
      </c>
      <c r="C318" s="450" t="s">
        <v>1322</v>
      </c>
      <c r="D318" s="491">
        <f>SUMIF('pdc2019'!$G$8:$G$1169,'CE MINISTERIALE 2019'!$B318,'pdc2019'!$Q$8:$Q$1169)</f>
        <v>433000</v>
      </c>
      <c r="E318" s="422"/>
      <c r="G318" s="441"/>
      <c r="H318" s="441"/>
      <c r="J318" s="435"/>
      <c r="L318" s="441"/>
    </row>
    <row r="319" spans="1:12" s="423" customFormat="1" ht="24.95" customHeight="1">
      <c r="A319" s="453"/>
      <c r="B319" s="446" t="s">
        <v>1323</v>
      </c>
      <c r="C319" s="447" t="s">
        <v>1324</v>
      </c>
      <c r="D319" s="438">
        <f>SUM(D320:D322)</f>
        <v>0</v>
      </c>
      <c r="E319" s="422"/>
      <c r="F319" s="440"/>
      <c r="G319" s="441"/>
      <c r="H319" s="441"/>
      <c r="J319" s="435"/>
      <c r="L319" s="441"/>
    </row>
    <row r="320" spans="1:12" s="423" customFormat="1" ht="24.95" customHeight="1">
      <c r="A320" s="453" t="s">
        <v>312</v>
      </c>
      <c r="B320" s="449" t="s">
        <v>1325</v>
      </c>
      <c r="C320" s="450" t="s">
        <v>1326</v>
      </c>
      <c r="D320" s="491">
        <f>SUMIF('pdc2019'!$G$8:$G$1169,'CE MINISTERIALE 2019'!$B320,'pdc2019'!$Q$8:$Q$1169)</f>
        <v>0</v>
      </c>
      <c r="E320" s="422"/>
      <c r="G320" s="441"/>
      <c r="H320" s="441"/>
      <c r="J320" s="435"/>
      <c r="L320" s="441"/>
    </row>
    <row r="321" spans="1:12" s="423" customFormat="1" ht="24.95" customHeight="1">
      <c r="A321" s="453"/>
      <c r="B321" s="449" t="s">
        <v>1327</v>
      </c>
      <c r="C321" s="450" t="s">
        <v>1328</v>
      </c>
      <c r="D321" s="491">
        <f>SUMIF('pdc2019'!$G$8:$G$1169,'CE MINISTERIALE 2019'!$B321,'pdc2019'!$Q$8:$Q$1169)</f>
        <v>0</v>
      </c>
      <c r="E321" s="422"/>
      <c r="G321" s="441"/>
      <c r="H321" s="441"/>
      <c r="J321" s="435"/>
      <c r="L321" s="441"/>
    </row>
    <row r="322" spans="1:12" s="423" customFormat="1" ht="24.95" customHeight="1">
      <c r="A322" s="453" t="s">
        <v>1594</v>
      </c>
      <c r="B322" s="449" t="s">
        <v>1329</v>
      </c>
      <c r="C322" s="450" t="s">
        <v>1330</v>
      </c>
      <c r="D322" s="491">
        <f>SUMIF('pdc2019'!$G$8:$G$1169,'CE MINISTERIALE 2019'!$B322,'pdc2019'!$Q$8:$Q$1169)</f>
        <v>0</v>
      </c>
      <c r="E322" s="422"/>
      <c r="G322" s="441"/>
      <c r="H322" s="441"/>
      <c r="J322" s="435"/>
      <c r="L322" s="441"/>
    </row>
    <row r="323" spans="1:12" s="423" customFormat="1" ht="24.95" customHeight="1">
      <c r="A323" s="453"/>
      <c r="B323" s="442" t="s">
        <v>2092</v>
      </c>
      <c r="C323" s="443" t="s">
        <v>2093</v>
      </c>
      <c r="D323" s="438">
        <f>SUM(D324:D330)</f>
        <v>30532000</v>
      </c>
      <c r="E323" s="422"/>
      <c r="F323" s="440"/>
      <c r="G323" s="441"/>
      <c r="H323" s="441"/>
      <c r="J323" s="435"/>
      <c r="L323" s="441"/>
    </row>
    <row r="324" spans="1:12" s="423" customFormat="1" ht="24.95" customHeight="1">
      <c r="A324" s="681" t="s">
        <v>312</v>
      </c>
      <c r="B324" s="446" t="s">
        <v>2094</v>
      </c>
      <c r="C324" s="447" t="s">
        <v>2095</v>
      </c>
      <c r="D324" s="491">
        <f>SUMIF('pdc2019'!$G$8:$G$1169,'CE MINISTERIALE 2019'!$B324,'pdc2019'!$Q$8:$Q$1169)</f>
        <v>0</v>
      </c>
      <c r="E324" s="422"/>
      <c r="G324" s="441"/>
      <c r="H324" s="441"/>
      <c r="J324" s="435"/>
      <c r="L324" s="441"/>
    </row>
    <row r="325" spans="1:12" s="423" customFormat="1" ht="24.95" customHeight="1">
      <c r="A325" s="453"/>
      <c r="B325" s="446" t="s">
        <v>2096</v>
      </c>
      <c r="C325" s="447" t="s">
        <v>181</v>
      </c>
      <c r="D325" s="491">
        <f>SUMIF('pdc2019'!$G$8:$G$1169,'CE MINISTERIALE 2019'!$B325,'pdc2019'!$Q$8:$Q$1169)</f>
        <v>0</v>
      </c>
      <c r="E325" s="422"/>
      <c r="G325" s="441"/>
      <c r="H325" s="441"/>
      <c r="J325" s="435"/>
      <c r="L325" s="441"/>
    </row>
    <row r="326" spans="1:12" s="423" customFormat="1" ht="24.95" customHeight="1">
      <c r="A326" s="453" t="s">
        <v>1594</v>
      </c>
      <c r="B326" s="446" t="s">
        <v>182</v>
      </c>
      <c r="C326" s="447" t="s">
        <v>183</v>
      </c>
      <c r="D326" s="491">
        <f>SUMIF('pdc2019'!$G$8:$G$1169,'CE MINISTERIALE 2019'!$B326,'pdc2019'!$Q$8:$Q$1169)</f>
        <v>1795000</v>
      </c>
      <c r="E326" s="422"/>
      <c r="G326" s="441"/>
      <c r="H326" s="441"/>
      <c r="J326" s="435"/>
      <c r="L326" s="441"/>
    </row>
    <row r="327" spans="1:12" s="423" customFormat="1" ht="24.95" customHeight="1">
      <c r="A327" s="681"/>
      <c r="B327" s="446" t="s">
        <v>184</v>
      </c>
      <c r="C327" s="447" t="s">
        <v>185</v>
      </c>
      <c r="D327" s="491">
        <f>SUMIF('pdc2019'!$G$8:$G$1169,'CE MINISTERIALE 2019'!$B327,'pdc2019'!$Q$8:$Q$1169)</f>
        <v>460000</v>
      </c>
      <c r="E327" s="422"/>
      <c r="G327" s="441"/>
      <c r="H327" s="441"/>
      <c r="J327" s="435"/>
      <c r="L327" s="441"/>
    </row>
    <row r="328" spans="1:12" s="448" customFormat="1" ht="24.95" customHeight="1">
      <c r="A328" s="678"/>
      <c r="B328" s="446" t="s">
        <v>186</v>
      </c>
      <c r="C328" s="447" t="s">
        <v>871</v>
      </c>
      <c r="D328" s="491">
        <f>SUMIF('pdc2019'!$G$8:$G$1169,'CE MINISTERIALE 2019'!$B328,'pdc2019'!$Q$8:$Q$1169)</f>
        <v>10045000</v>
      </c>
      <c r="E328" s="422"/>
      <c r="F328" s="423"/>
      <c r="G328" s="441"/>
      <c r="H328" s="441"/>
      <c r="J328" s="435"/>
      <c r="L328" s="441"/>
    </row>
    <row r="329" spans="1:12" s="448" customFormat="1" ht="24.95" customHeight="1">
      <c r="A329" s="678" t="s">
        <v>312</v>
      </c>
      <c r="B329" s="446" t="s">
        <v>4803</v>
      </c>
      <c r="C329" s="447" t="s">
        <v>4804</v>
      </c>
      <c r="D329" s="491">
        <f>SUMIF('pdc2019'!$G$8:$G$1169,'CE MINISTERIALE 2019'!$B329,'pdc2019'!$Q$8:$Q$1169)</f>
        <v>0</v>
      </c>
      <c r="E329" s="422"/>
      <c r="F329" s="423"/>
      <c r="G329" s="441"/>
      <c r="H329" s="441"/>
      <c r="J329" s="435"/>
      <c r="L329" s="441"/>
    </row>
    <row r="330" spans="1:12" s="448" customFormat="1" ht="24.95" customHeight="1">
      <c r="A330" s="678" t="s">
        <v>1594</v>
      </c>
      <c r="B330" s="446" t="s">
        <v>4805</v>
      </c>
      <c r="C330" s="447" t="s">
        <v>4806</v>
      </c>
      <c r="D330" s="491">
        <f>SUMIF('pdc2019'!$G$8:$G$1169,'CE MINISTERIALE 2019'!$B330,'pdc2019'!$Q$8:$Q$1169)</f>
        <v>18232000</v>
      </c>
      <c r="E330" s="422"/>
      <c r="F330" s="423"/>
      <c r="G330" s="441"/>
      <c r="H330" s="441"/>
      <c r="J330" s="435"/>
      <c r="L330" s="441"/>
    </row>
    <row r="331" spans="1:12" s="448" customFormat="1" ht="24.95" customHeight="1">
      <c r="A331" s="682" t="s">
        <v>1589</v>
      </c>
      <c r="B331" s="442" t="s">
        <v>872</v>
      </c>
      <c r="C331" s="443" t="s">
        <v>4807</v>
      </c>
      <c r="D331" s="491">
        <f>SUMIF('pdc2019'!$G$8:$G$1169,'CE MINISTERIALE 2019'!$B331,'pdc2019'!$Q$8:$Q$1169)</f>
        <v>0</v>
      </c>
      <c r="E331" s="422"/>
      <c r="F331" s="423"/>
      <c r="G331" s="441"/>
      <c r="H331" s="441"/>
      <c r="J331" s="435"/>
      <c r="L331" s="441"/>
    </row>
    <row r="332" spans="1:12" s="448" customFormat="1" ht="24.95" customHeight="1">
      <c r="A332" s="678"/>
      <c r="B332" s="442" t="s">
        <v>873</v>
      </c>
      <c r="C332" s="443" t="s">
        <v>874</v>
      </c>
      <c r="D332" s="438">
        <f>+D333+D353+D367</f>
        <v>69865500</v>
      </c>
      <c r="E332" s="422"/>
      <c r="F332" s="423"/>
      <c r="G332" s="441"/>
      <c r="H332" s="441"/>
      <c r="J332" s="435"/>
      <c r="L332" s="441"/>
    </row>
    <row r="333" spans="1:12" s="448" customFormat="1" ht="24.95" customHeight="1">
      <c r="A333" s="456"/>
      <c r="B333" s="442" t="s">
        <v>875</v>
      </c>
      <c r="C333" s="443" t="s">
        <v>876</v>
      </c>
      <c r="D333" s="438">
        <f>+D334+D335+D336+D339+D340+D341+D342+D343+D344+D345+D346+D349</f>
        <v>66205500</v>
      </c>
      <c r="E333" s="422"/>
      <c r="F333" s="440"/>
      <c r="G333" s="441"/>
      <c r="H333" s="441"/>
      <c r="J333" s="435"/>
      <c r="L333" s="441"/>
    </row>
    <row r="334" spans="1:12" s="448" customFormat="1" ht="24.95" customHeight="1">
      <c r="A334" s="456"/>
      <c r="B334" s="446" t="s">
        <v>877</v>
      </c>
      <c r="C334" s="447" t="s">
        <v>878</v>
      </c>
      <c r="D334" s="491">
        <f>SUMIF('pdc2019'!$G$8:$G$1169,'CE MINISTERIALE 2019'!$B334,'pdc2019'!$Q$8:$Q$1169)</f>
        <v>8168000</v>
      </c>
      <c r="E334" s="422"/>
      <c r="F334" s="423"/>
      <c r="G334" s="441"/>
      <c r="H334" s="441"/>
      <c r="J334" s="435"/>
      <c r="L334" s="441"/>
    </row>
    <row r="335" spans="1:12" s="448" customFormat="1" ht="24.95" customHeight="1">
      <c r="A335" s="456"/>
      <c r="B335" s="446" t="s">
        <v>879</v>
      </c>
      <c r="C335" s="447" t="s">
        <v>880</v>
      </c>
      <c r="D335" s="491">
        <f>SUMIF('pdc2019'!$G$8:$G$1169,'CE MINISTERIALE 2019'!$B335,'pdc2019'!$Q$8:$Q$1169)</f>
        <v>14097000</v>
      </c>
      <c r="E335" s="422"/>
      <c r="F335" s="423"/>
      <c r="G335" s="441"/>
      <c r="H335" s="441"/>
      <c r="J335" s="435"/>
      <c r="L335" s="441"/>
    </row>
    <row r="336" spans="1:12" s="448" customFormat="1" ht="24.95" customHeight="1">
      <c r="A336" s="456"/>
      <c r="B336" s="446" t="s">
        <v>881</v>
      </c>
      <c r="C336" s="447" t="s">
        <v>882</v>
      </c>
      <c r="D336" s="438">
        <f>+D337+D338</f>
        <v>480000</v>
      </c>
      <c r="E336" s="422"/>
      <c r="F336" s="440"/>
      <c r="G336" s="441"/>
      <c r="H336" s="441"/>
      <c r="J336" s="435"/>
      <c r="L336" s="441"/>
    </row>
    <row r="337" spans="1:12" s="457" customFormat="1" ht="24.95" customHeight="1">
      <c r="A337" s="456"/>
      <c r="B337" s="446" t="s">
        <v>4808</v>
      </c>
      <c r="C337" s="447" t="s">
        <v>4809</v>
      </c>
      <c r="D337" s="491">
        <f>SUMIF('pdc2019'!$G$8:$G$1169,'CE MINISTERIALE 2019'!$B337,'pdc2019'!$Q$8:$Q$1169)</f>
        <v>480000</v>
      </c>
      <c r="E337" s="422"/>
      <c r="F337" s="422"/>
      <c r="G337" s="441"/>
      <c r="H337" s="441"/>
      <c r="J337" s="435"/>
      <c r="L337" s="441"/>
    </row>
    <row r="338" spans="1:12" s="457" customFormat="1" ht="24.95" customHeight="1">
      <c r="A338" s="456"/>
      <c r="B338" s="446" t="s">
        <v>4810</v>
      </c>
      <c r="C338" s="447" t="s">
        <v>4811</v>
      </c>
      <c r="D338" s="491">
        <f>SUMIF('pdc2019'!$G$8:$G$1169,'CE MINISTERIALE 2019'!$B338,'pdc2019'!$Q$8:$Q$1169)</f>
        <v>0</v>
      </c>
      <c r="E338" s="422"/>
      <c r="F338" s="422"/>
      <c r="G338" s="441"/>
      <c r="H338" s="441"/>
      <c r="J338" s="435"/>
      <c r="L338" s="441"/>
    </row>
    <row r="339" spans="1:12" s="448" customFormat="1" ht="24.95" customHeight="1">
      <c r="A339" s="456"/>
      <c r="B339" s="446" t="s">
        <v>883</v>
      </c>
      <c r="C339" s="447" t="s">
        <v>884</v>
      </c>
      <c r="D339" s="491">
        <f>SUMIF('pdc2019'!$G$8:$G$1169,'CE MINISTERIALE 2019'!$B339,'pdc2019'!$Q$8:$Q$1169)</f>
        <v>2865000</v>
      </c>
      <c r="E339" s="422"/>
      <c r="F339" s="423"/>
      <c r="G339" s="441"/>
      <c r="H339" s="441"/>
      <c r="J339" s="435"/>
      <c r="L339" s="441"/>
    </row>
    <row r="340" spans="1:12" s="448" customFormat="1" ht="24.95" customHeight="1">
      <c r="A340" s="456"/>
      <c r="B340" s="446" t="s">
        <v>885</v>
      </c>
      <c r="C340" s="447" t="s">
        <v>886</v>
      </c>
      <c r="D340" s="491">
        <f>SUMIF('pdc2019'!$G$8:$G$1169,'CE MINISTERIALE 2019'!$B340,'pdc2019'!$Q$8:$Q$1169)</f>
        <v>775000</v>
      </c>
      <c r="E340" s="422"/>
      <c r="F340" s="423"/>
      <c r="G340" s="441"/>
      <c r="H340" s="441"/>
      <c r="J340" s="435"/>
      <c r="L340" s="441"/>
    </row>
    <row r="341" spans="1:12" s="448" customFormat="1" ht="24.95" customHeight="1">
      <c r="A341" s="456"/>
      <c r="B341" s="446" t="s">
        <v>887</v>
      </c>
      <c r="C341" s="447" t="s">
        <v>888</v>
      </c>
      <c r="D341" s="491">
        <f>SUMIF('pdc2019'!$G$8:$G$1169,'CE MINISTERIALE 2019'!$B341,'pdc2019'!$Q$8:$Q$1169)</f>
        <v>239000</v>
      </c>
      <c r="E341" s="422"/>
      <c r="F341" s="423"/>
      <c r="G341" s="441"/>
      <c r="H341" s="441"/>
      <c r="J341" s="435"/>
      <c r="L341" s="441"/>
    </row>
    <row r="342" spans="1:12" s="448" customFormat="1" ht="24.95" customHeight="1">
      <c r="A342" s="456"/>
      <c r="B342" s="446" t="s">
        <v>889</v>
      </c>
      <c r="C342" s="447" t="s">
        <v>890</v>
      </c>
      <c r="D342" s="491">
        <f>SUMIF('pdc2019'!$G$8:$G$1169,'CE MINISTERIALE 2019'!$B342,'pdc2019'!$Q$8:$Q$1169)</f>
        <v>2237000</v>
      </c>
      <c r="E342" s="422"/>
      <c r="F342" s="423"/>
      <c r="G342" s="441"/>
      <c r="H342" s="441"/>
      <c r="J342" s="435"/>
      <c r="L342" s="441"/>
    </row>
    <row r="343" spans="1:12" s="448" customFormat="1" ht="24.95" customHeight="1">
      <c r="A343" s="456"/>
      <c r="B343" s="446" t="s">
        <v>891</v>
      </c>
      <c r="C343" s="447" t="s">
        <v>892</v>
      </c>
      <c r="D343" s="491">
        <f>SUMIF('pdc2019'!$G$8:$G$1169,'CE MINISTERIALE 2019'!$B343,'pdc2019'!$Q$8:$Q$1169)</f>
        <v>1022000</v>
      </c>
      <c r="E343" s="422"/>
      <c r="F343" s="423"/>
      <c r="G343" s="441"/>
      <c r="H343" s="441"/>
      <c r="J343" s="435"/>
      <c r="L343" s="441"/>
    </row>
    <row r="344" spans="1:12" s="448" customFormat="1" ht="24.95" customHeight="1">
      <c r="A344" s="456"/>
      <c r="B344" s="446" t="s">
        <v>893</v>
      </c>
      <c r="C344" s="447" t="s">
        <v>894</v>
      </c>
      <c r="D344" s="491">
        <f>SUMIF('pdc2019'!$G$8:$G$1169,'CE MINISTERIALE 2019'!$B344,'pdc2019'!$Q$8:$Q$1169)</f>
        <v>9895000</v>
      </c>
      <c r="E344" s="422"/>
      <c r="F344" s="423"/>
      <c r="G344" s="441"/>
      <c r="H344" s="441"/>
      <c r="J344" s="435"/>
      <c r="L344" s="441"/>
    </row>
    <row r="345" spans="1:12" s="448" customFormat="1" ht="24.95" customHeight="1">
      <c r="A345" s="456"/>
      <c r="B345" s="446" t="s">
        <v>895</v>
      </c>
      <c r="C345" s="447" t="s">
        <v>896</v>
      </c>
      <c r="D345" s="491">
        <f>SUMIF('pdc2019'!$G$8:$G$1169,'CE MINISTERIALE 2019'!$B345,'pdc2019'!$Q$8:$Q$1169)</f>
        <v>1552000</v>
      </c>
      <c r="E345" s="422"/>
      <c r="F345" s="423"/>
      <c r="G345" s="441"/>
      <c r="H345" s="441"/>
      <c r="J345" s="435"/>
      <c r="L345" s="441"/>
    </row>
    <row r="346" spans="1:12" s="448" customFormat="1" ht="24.95" customHeight="1">
      <c r="A346" s="678"/>
      <c r="B346" s="446" t="s">
        <v>897</v>
      </c>
      <c r="C346" s="447" t="s">
        <v>898</v>
      </c>
      <c r="D346" s="438">
        <f>+D347+D348</f>
        <v>7585000</v>
      </c>
      <c r="E346" s="422"/>
      <c r="F346" s="440"/>
      <c r="G346" s="441"/>
      <c r="H346" s="441"/>
      <c r="J346" s="435"/>
      <c r="L346" s="441"/>
    </row>
    <row r="347" spans="1:12" s="448" customFormat="1" ht="24.95" customHeight="1">
      <c r="A347" s="678"/>
      <c r="B347" s="449" t="s">
        <v>899</v>
      </c>
      <c r="C347" s="450" t="s">
        <v>900</v>
      </c>
      <c r="D347" s="491">
        <f>SUMIF('pdc2019'!$G$8:$G$1169,'CE MINISTERIALE 2019'!$B347,'pdc2019'!$Q$8:$Q$1169)</f>
        <v>7445000</v>
      </c>
      <c r="E347" s="422"/>
      <c r="F347" s="423"/>
      <c r="G347" s="463"/>
      <c r="H347" s="463"/>
      <c r="J347" s="435"/>
      <c r="L347" s="441"/>
    </row>
    <row r="348" spans="1:12" s="448" customFormat="1" ht="24.95" customHeight="1">
      <c r="A348" s="678"/>
      <c r="B348" s="449" t="s">
        <v>901</v>
      </c>
      <c r="C348" s="450" t="s">
        <v>902</v>
      </c>
      <c r="D348" s="491">
        <f>SUMIF('pdc2019'!$G$8:$G$1169,'CE MINISTERIALE 2019'!$B348,'pdc2019'!$Q$8:$Q$1169)</f>
        <v>140000</v>
      </c>
      <c r="E348" s="422"/>
      <c r="F348" s="423"/>
      <c r="G348" s="441"/>
      <c r="H348" s="441"/>
      <c r="J348" s="435"/>
      <c r="L348" s="441"/>
    </row>
    <row r="349" spans="1:12" s="448" customFormat="1" ht="24.95" customHeight="1">
      <c r="A349" s="678"/>
      <c r="B349" s="446" t="s">
        <v>903</v>
      </c>
      <c r="C349" s="447" t="s">
        <v>904</v>
      </c>
      <c r="D349" s="438">
        <f>+D350+D351+D352</f>
        <v>17290500</v>
      </c>
      <c r="E349" s="422"/>
      <c r="F349" s="440"/>
      <c r="G349" s="441"/>
      <c r="H349" s="441"/>
      <c r="J349" s="435"/>
      <c r="L349" s="441"/>
    </row>
    <row r="350" spans="1:12" s="448" customFormat="1" ht="24.95" customHeight="1">
      <c r="A350" s="678" t="s">
        <v>312</v>
      </c>
      <c r="B350" s="449" t="s">
        <v>905</v>
      </c>
      <c r="C350" s="450" t="s">
        <v>906</v>
      </c>
      <c r="D350" s="491">
        <f>SUMIF('pdc2019'!$G$8:$G$1169,'CE MINISTERIALE 2019'!$B350,'pdc2019'!$Q$8:$Q$1169)</f>
        <v>0</v>
      </c>
      <c r="E350" s="422"/>
      <c r="F350" s="423"/>
      <c r="G350" s="441"/>
      <c r="H350" s="441"/>
      <c r="J350" s="435"/>
      <c r="L350" s="441"/>
    </row>
    <row r="351" spans="1:12" s="448" customFormat="1" ht="24.95" customHeight="1">
      <c r="A351" s="456"/>
      <c r="B351" s="449" t="s">
        <v>907</v>
      </c>
      <c r="C351" s="450" t="s">
        <v>908</v>
      </c>
      <c r="D351" s="491">
        <f>SUMIF('pdc2019'!$G$8:$G$1169,'CE MINISTERIALE 2019'!$B351,'pdc2019'!$Q$8:$Q$1169)</f>
        <v>0</v>
      </c>
      <c r="E351" s="422"/>
      <c r="F351" s="423"/>
      <c r="G351" s="441"/>
      <c r="H351" s="441"/>
      <c r="J351" s="435"/>
      <c r="L351" s="441"/>
    </row>
    <row r="352" spans="1:12" s="448" customFormat="1" ht="24.95" customHeight="1">
      <c r="A352" s="678"/>
      <c r="B352" s="449" t="s">
        <v>909</v>
      </c>
      <c r="C352" s="450" t="s">
        <v>910</v>
      </c>
      <c r="D352" s="491">
        <f>SUMIF('pdc2019'!$G$8:$G$1169,'CE MINISTERIALE 2019'!$B352,'pdc2019'!$Q$8:$Q$1169)</f>
        <v>17290500</v>
      </c>
      <c r="E352" s="422"/>
      <c r="F352" s="423"/>
      <c r="G352" s="441"/>
      <c r="H352" s="441"/>
      <c r="J352" s="435"/>
      <c r="L352" s="441"/>
    </row>
    <row r="353" spans="1:12" s="448" customFormat="1" ht="24.95" customHeight="1">
      <c r="A353" s="456"/>
      <c r="B353" s="442" t="s">
        <v>911</v>
      </c>
      <c r="C353" s="443" t="s">
        <v>912</v>
      </c>
      <c r="D353" s="438">
        <f>+D354+D355+D356+D363</f>
        <v>321000</v>
      </c>
      <c r="E353" s="422"/>
      <c r="F353" s="440"/>
      <c r="G353" s="441"/>
      <c r="H353" s="441"/>
      <c r="J353" s="435"/>
      <c r="L353" s="441"/>
    </row>
    <row r="354" spans="1:12" s="448" customFormat="1" ht="24.95" customHeight="1">
      <c r="A354" s="456" t="s">
        <v>312</v>
      </c>
      <c r="B354" s="446" t="s">
        <v>913</v>
      </c>
      <c r="C354" s="447" t="s">
        <v>914</v>
      </c>
      <c r="D354" s="491">
        <f>SUMIF('pdc2019'!$G$8:$G$1169,'CE MINISTERIALE 2019'!$B354,'pdc2019'!$Q$8:$Q$1169)</f>
        <v>0</v>
      </c>
      <c r="E354" s="422"/>
      <c r="F354" s="423"/>
      <c r="G354" s="441"/>
      <c r="H354" s="441"/>
      <c r="J354" s="435"/>
      <c r="L354" s="441"/>
    </row>
    <row r="355" spans="1:12" s="448" customFormat="1" ht="24.95" customHeight="1">
      <c r="A355" s="456"/>
      <c r="B355" s="446" t="s">
        <v>915</v>
      </c>
      <c r="C355" s="447" t="s">
        <v>916</v>
      </c>
      <c r="D355" s="491">
        <f>SUMIF('pdc2019'!$G$8:$G$1169,'CE MINISTERIALE 2019'!$B355,'pdc2019'!$Q$8:$Q$1169)</f>
        <v>0</v>
      </c>
      <c r="E355" s="422"/>
      <c r="F355" s="423"/>
      <c r="G355" s="441"/>
      <c r="H355" s="441"/>
      <c r="J355" s="435"/>
      <c r="L355" s="441"/>
    </row>
    <row r="356" spans="1:12" s="448" customFormat="1" ht="24.95" customHeight="1">
      <c r="A356" s="456"/>
      <c r="B356" s="446" t="s">
        <v>917</v>
      </c>
      <c r="C356" s="447" t="s">
        <v>918</v>
      </c>
      <c r="D356" s="438">
        <f>SUM(D357:D362)</f>
        <v>221000</v>
      </c>
      <c r="E356" s="422"/>
      <c r="F356" s="440"/>
      <c r="G356" s="441"/>
      <c r="H356" s="441"/>
      <c r="J356" s="435"/>
      <c r="L356" s="441"/>
    </row>
    <row r="357" spans="1:12" s="448" customFormat="1" ht="24.95" customHeight="1">
      <c r="A357" s="456"/>
      <c r="B357" s="449" t="s">
        <v>919</v>
      </c>
      <c r="C357" s="450" t="s">
        <v>920</v>
      </c>
      <c r="D357" s="491">
        <f>SUMIF('pdc2019'!$G$8:$G$1169,'CE MINISTERIALE 2019'!$B357,'pdc2019'!$Q$8:$Q$1169)</f>
        <v>140000</v>
      </c>
      <c r="E357" s="422"/>
      <c r="F357" s="423"/>
      <c r="G357" s="441"/>
      <c r="H357" s="441"/>
      <c r="J357" s="435"/>
      <c r="L357" s="441"/>
    </row>
    <row r="358" spans="1:12" s="448" customFormat="1" ht="24.95" customHeight="1">
      <c r="A358" s="456"/>
      <c r="B358" s="449" t="s">
        <v>921</v>
      </c>
      <c r="C358" s="450" t="s">
        <v>922</v>
      </c>
      <c r="D358" s="491">
        <f>SUMIF('pdc2019'!$G$8:$G$1169,'CE MINISTERIALE 2019'!$B358,'pdc2019'!$Q$8:$Q$1169)</f>
        <v>50000</v>
      </c>
      <c r="E358" s="422"/>
      <c r="F358" s="423"/>
      <c r="G358" s="441"/>
      <c r="H358" s="441"/>
      <c r="J358" s="435"/>
      <c r="L358" s="441"/>
    </row>
    <row r="359" spans="1:12" s="448" customFormat="1" ht="24.95" customHeight="1">
      <c r="A359" s="456"/>
      <c r="B359" s="449" t="s">
        <v>923</v>
      </c>
      <c r="C359" s="450" t="s">
        <v>924</v>
      </c>
      <c r="D359" s="491">
        <f>SUMIF('pdc2019'!$G$8:$G$1169,'CE MINISTERIALE 2019'!$B359,'pdc2019'!$Q$8:$Q$1169)</f>
        <v>0</v>
      </c>
      <c r="E359" s="422"/>
      <c r="F359" s="423"/>
      <c r="G359" s="441"/>
      <c r="H359" s="441"/>
      <c r="J359" s="435"/>
      <c r="L359" s="441"/>
    </row>
    <row r="360" spans="1:12" s="448" customFormat="1" ht="24.95" customHeight="1">
      <c r="A360" s="456"/>
      <c r="B360" s="449" t="s">
        <v>925</v>
      </c>
      <c r="C360" s="450" t="s">
        <v>926</v>
      </c>
      <c r="D360" s="491">
        <f>SUMIF('pdc2019'!$G$8:$G$1169,'CE MINISTERIALE 2019'!$B360,'pdc2019'!$Q$8:$Q$1169)</f>
        <v>0</v>
      </c>
      <c r="E360" s="422"/>
      <c r="F360" s="423"/>
      <c r="G360" s="441"/>
      <c r="H360" s="441"/>
      <c r="J360" s="435"/>
      <c r="L360" s="441"/>
    </row>
    <row r="361" spans="1:12" s="448" customFormat="1" ht="24.95" customHeight="1">
      <c r="A361" s="456"/>
      <c r="B361" s="449" t="s">
        <v>927</v>
      </c>
      <c r="C361" s="450" t="s">
        <v>928</v>
      </c>
      <c r="D361" s="491">
        <f>SUMIF('pdc2019'!$G$8:$G$1169,'CE MINISTERIALE 2019'!$B361,'pdc2019'!$Q$8:$Q$1169)</f>
        <v>31000</v>
      </c>
      <c r="E361" s="422"/>
      <c r="F361" s="423"/>
      <c r="G361" s="441"/>
      <c r="H361" s="441"/>
      <c r="J361" s="435"/>
      <c r="L361" s="441"/>
    </row>
    <row r="362" spans="1:12" s="457" customFormat="1" ht="24.95" customHeight="1">
      <c r="A362" s="456"/>
      <c r="B362" s="449" t="s">
        <v>4812</v>
      </c>
      <c r="C362" s="450" t="s">
        <v>4813</v>
      </c>
      <c r="D362" s="491">
        <f>SUMIF('pdc2019'!$G$8:$G$1169,'CE MINISTERIALE 2019'!$B362,'pdc2019'!$Q$8:$Q$1169)</f>
        <v>0</v>
      </c>
      <c r="E362" s="422"/>
      <c r="F362" s="422"/>
      <c r="G362" s="441"/>
      <c r="H362" s="441"/>
      <c r="J362" s="435"/>
      <c r="L362" s="441"/>
    </row>
    <row r="363" spans="1:12" s="448" customFormat="1" ht="24.95" customHeight="1">
      <c r="A363" s="456"/>
      <c r="B363" s="446" t="s">
        <v>929</v>
      </c>
      <c r="C363" s="447" t="s">
        <v>930</v>
      </c>
      <c r="D363" s="438">
        <f>SUM(D364:D366)</f>
        <v>100000</v>
      </c>
      <c r="E363" s="422"/>
      <c r="F363" s="440"/>
      <c r="G363" s="441"/>
      <c r="H363" s="441"/>
      <c r="J363" s="435"/>
      <c r="L363" s="441"/>
    </row>
    <row r="364" spans="1:12" s="448" customFormat="1" ht="24.95" customHeight="1">
      <c r="A364" s="456" t="s">
        <v>312</v>
      </c>
      <c r="B364" s="449" t="s">
        <v>22</v>
      </c>
      <c r="C364" s="450" t="s">
        <v>23</v>
      </c>
      <c r="D364" s="491">
        <f>SUMIF('pdc2019'!$G$8:$G$1169,'CE MINISTERIALE 2019'!$B364,'pdc2019'!$Q$8:$Q$1169)</f>
        <v>0</v>
      </c>
      <c r="E364" s="422"/>
      <c r="F364" s="423"/>
      <c r="G364" s="441"/>
      <c r="H364" s="441"/>
      <c r="J364" s="435"/>
      <c r="L364" s="441"/>
    </row>
    <row r="365" spans="1:12" s="448" customFormat="1" ht="24.95" customHeight="1">
      <c r="A365" s="456"/>
      <c r="B365" s="449" t="s">
        <v>24</v>
      </c>
      <c r="C365" s="450" t="s">
        <v>25</v>
      </c>
      <c r="D365" s="491">
        <f>SUMIF('pdc2019'!$G$8:$G$1169,'CE MINISTERIALE 2019'!$B365,'pdc2019'!$Q$8:$Q$1169)</f>
        <v>100000</v>
      </c>
      <c r="E365" s="422"/>
      <c r="F365" s="423"/>
      <c r="G365" s="441"/>
      <c r="H365" s="441"/>
      <c r="J365" s="435"/>
      <c r="L365" s="441"/>
    </row>
    <row r="366" spans="1:12" s="448" customFormat="1" ht="24.95" customHeight="1">
      <c r="A366" s="456" t="s">
        <v>1594</v>
      </c>
      <c r="B366" s="449" t="s">
        <v>26</v>
      </c>
      <c r="C366" s="450" t="s">
        <v>27</v>
      </c>
      <c r="D366" s="491">
        <f>SUMIF('pdc2019'!$G$8:$G$1169,'CE MINISTERIALE 2019'!$B366,'pdc2019'!$Q$8:$Q$1169)</f>
        <v>0</v>
      </c>
      <c r="E366" s="422"/>
      <c r="F366" s="423"/>
      <c r="G366" s="441"/>
      <c r="H366" s="441"/>
      <c r="J366" s="435"/>
      <c r="L366" s="441"/>
    </row>
    <row r="367" spans="1:12" s="448" customFormat="1" ht="24.95" customHeight="1">
      <c r="A367" s="456"/>
      <c r="B367" s="442" t="s">
        <v>28</v>
      </c>
      <c r="C367" s="443" t="s">
        <v>29</v>
      </c>
      <c r="D367" s="438">
        <f>+D368+D369</f>
        <v>3339000</v>
      </c>
      <c r="E367" s="422"/>
      <c r="F367" s="440"/>
      <c r="G367" s="441"/>
      <c r="H367" s="441"/>
      <c r="J367" s="435"/>
      <c r="L367" s="441"/>
    </row>
    <row r="368" spans="1:12" s="448" customFormat="1" ht="24.95" customHeight="1">
      <c r="A368" s="456"/>
      <c r="B368" s="446" t="s">
        <v>30</v>
      </c>
      <c r="C368" s="447" t="s">
        <v>31</v>
      </c>
      <c r="D368" s="491">
        <f>SUMIF('pdc2019'!$G$8:$G$1169,'CE MINISTERIALE 2019'!$B368,'pdc2019'!$Q$8:$Q$1169)</f>
        <v>318000</v>
      </c>
      <c r="E368" s="422"/>
      <c r="F368" s="423"/>
      <c r="G368" s="441"/>
      <c r="H368" s="441"/>
      <c r="J368" s="435"/>
      <c r="L368" s="441"/>
    </row>
    <row r="369" spans="1:12" s="448" customFormat="1" ht="24.95" customHeight="1">
      <c r="A369" s="456"/>
      <c r="B369" s="446" t="s">
        <v>32</v>
      </c>
      <c r="C369" s="447" t="s">
        <v>33</v>
      </c>
      <c r="D369" s="491">
        <f>SUMIF('pdc2019'!$G$8:$G$1169,'CE MINISTERIALE 2019'!$B369,'pdc2019'!$Q$8:$Q$1169)</f>
        <v>3021000</v>
      </c>
      <c r="E369" s="422"/>
      <c r="F369" s="423"/>
      <c r="G369" s="441"/>
      <c r="H369" s="441"/>
      <c r="J369" s="435"/>
      <c r="L369" s="441"/>
    </row>
    <row r="370" spans="1:12" s="448" customFormat="1" ht="24.95" customHeight="1">
      <c r="A370" s="456"/>
      <c r="B370" s="436" t="s">
        <v>34</v>
      </c>
      <c r="C370" s="437" t="s">
        <v>35</v>
      </c>
      <c r="D370" s="438">
        <f>SUM(D371:D377)</f>
        <v>24576000</v>
      </c>
      <c r="E370" s="422"/>
      <c r="F370" s="440"/>
      <c r="G370" s="441"/>
      <c r="H370" s="441"/>
      <c r="J370" s="435"/>
      <c r="L370" s="441"/>
    </row>
    <row r="371" spans="1:12" s="448" customFormat="1" ht="24.95" customHeight="1">
      <c r="A371" s="456"/>
      <c r="B371" s="442" t="s">
        <v>36</v>
      </c>
      <c r="C371" s="443" t="s">
        <v>37</v>
      </c>
      <c r="D371" s="491">
        <f>SUMIF('pdc2019'!$G$8:$G$1169,'CE MINISTERIALE 2019'!$B371,'pdc2019'!$Q$8:$Q$1169)</f>
        <v>7875000</v>
      </c>
      <c r="E371" s="422"/>
      <c r="F371" s="423"/>
      <c r="G371" s="441"/>
      <c r="H371" s="441"/>
      <c r="J371" s="435"/>
      <c r="L371" s="441"/>
    </row>
    <row r="372" spans="1:12" s="448" customFormat="1" ht="24.95" customHeight="1">
      <c r="A372" s="678"/>
      <c r="B372" s="442" t="s">
        <v>38</v>
      </c>
      <c r="C372" s="443" t="s">
        <v>39</v>
      </c>
      <c r="D372" s="491">
        <f>SUMIF('pdc2019'!$G$8:$G$1169,'CE MINISTERIALE 2019'!$B372,'pdc2019'!$Q$8:$Q$1169)</f>
        <v>125000</v>
      </c>
      <c r="E372" s="422"/>
      <c r="F372" s="423"/>
      <c r="G372" s="441"/>
      <c r="H372" s="441"/>
      <c r="J372" s="435"/>
      <c r="L372" s="441"/>
    </row>
    <row r="373" spans="1:12" s="448" customFormat="1" ht="24.95" customHeight="1">
      <c r="A373" s="678"/>
      <c r="B373" s="442" t="s">
        <v>40</v>
      </c>
      <c r="C373" s="443" t="s">
        <v>541</v>
      </c>
      <c r="D373" s="491">
        <f>SUMIF('pdc2019'!$G$8:$G$1169,'CE MINISTERIALE 2019'!$B373,'pdc2019'!$Q$8:$Q$1169)</f>
        <v>9233000</v>
      </c>
      <c r="E373" s="422"/>
      <c r="F373" s="423"/>
      <c r="G373" s="441"/>
      <c r="H373" s="441"/>
      <c r="J373" s="435"/>
      <c r="L373" s="441"/>
    </row>
    <row r="374" spans="1:12" s="448" customFormat="1" ht="24.95" customHeight="1">
      <c r="A374" s="678"/>
      <c r="B374" s="442" t="s">
        <v>542</v>
      </c>
      <c r="C374" s="443" t="s">
        <v>543</v>
      </c>
      <c r="D374" s="491">
        <f>SUMIF('pdc2019'!$G$8:$G$1169,'CE MINISTERIALE 2019'!$B374,'pdc2019'!$Q$8:$Q$1169)</f>
        <v>0</v>
      </c>
      <c r="E374" s="422"/>
      <c r="F374" s="423"/>
      <c r="G374" s="441"/>
      <c r="H374" s="441"/>
      <c r="J374" s="435"/>
      <c r="L374" s="441"/>
    </row>
    <row r="375" spans="1:12" s="448" customFormat="1" ht="24.95" customHeight="1">
      <c r="A375" s="678"/>
      <c r="B375" s="442" t="s">
        <v>544</v>
      </c>
      <c r="C375" s="443" t="s">
        <v>545</v>
      </c>
      <c r="D375" s="491">
        <f>SUMIF('pdc2019'!$G$8:$G$1169,'CE MINISTERIALE 2019'!$B375,'pdc2019'!$Q$8:$Q$1169)</f>
        <v>426000</v>
      </c>
      <c r="E375" s="422"/>
      <c r="F375" s="423"/>
      <c r="G375" s="441"/>
      <c r="H375" s="441"/>
      <c r="J375" s="435"/>
      <c r="L375" s="441"/>
    </row>
    <row r="376" spans="1:12" s="448" customFormat="1" ht="24.95" customHeight="1">
      <c r="A376" s="678"/>
      <c r="B376" s="442" t="s">
        <v>546</v>
      </c>
      <c r="C376" s="443" t="s">
        <v>547</v>
      </c>
      <c r="D376" s="491">
        <f>SUMIF('pdc2019'!$G$8:$G$1169,'CE MINISTERIALE 2019'!$B376,'pdc2019'!$Q$8:$Q$1169)</f>
        <v>6917000</v>
      </c>
      <c r="E376" s="422"/>
      <c r="F376" s="423"/>
      <c r="G376" s="441"/>
      <c r="H376" s="441"/>
      <c r="J376" s="435"/>
      <c r="L376" s="441"/>
    </row>
    <row r="377" spans="1:12" s="448" customFormat="1" ht="24.95" customHeight="1">
      <c r="A377" s="683" t="s">
        <v>312</v>
      </c>
      <c r="B377" s="442" t="s">
        <v>548</v>
      </c>
      <c r="C377" s="443" t="s">
        <v>549</v>
      </c>
      <c r="D377" s="491">
        <f>SUMIF('pdc2019'!$G$8:$G$1169,'CE MINISTERIALE 2019'!$B377,'pdc2019'!$Q$8:$Q$1169)</f>
        <v>0</v>
      </c>
      <c r="E377" s="422"/>
      <c r="F377" s="423"/>
      <c r="G377" s="441"/>
      <c r="H377" s="441"/>
      <c r="J377" s="435"/>
      <c r="L377" s="441"/>
    </row>
    <row r="378" spans="1:12" s="448" customFormat="1" ht="24.95" customHeight="1">
      <c r="A378" s="456"/>
      <c r="B378" s="436" t="s">
        <v>550</v>
      </c>
      <c r="C378" s="437" t="s">
        <v>551</v>
      </c>
      <c r="D378" s="438">
        <f>+D379+D380+D383+D386+D387</f>
        <v>10024000</v>
      </c>
      <c r="E378" s="422"/>
      <c r="F378" s="440"/>
      <c r="G378" s="441"/>
      <c r="H378" s="441"/>
      <c r="J378" s="435"/>
      <c r="L378" s="441"/>
    </row>
    <row r="379" spans="1:12" s="448" customFormat="1" ht="24.95" customHeight="1">
      <c r="A379" s="456"/>
      <c r="B379" s="442" t="s">
        <v>552</v>
      </c>
      <c r="C379" s="443" t="s">
        <v>553</v>
      </c>
      <c r="D379" s="491">
        <f>SUMIF('pdc2019'!$G$8:$G$1169,'CE MINISTERIALE 2019'!$B379,'pdc2019'!$Q$8:$Q$1169)</f>
        <v>3347000</v>
      </c>
      <c r="E379" s="422"/>
      <c r="F379" s="423"/>
      <c r="G379" s="441"/>
      <c r="H379" s="441"/>
      <c r="J379" s="435"/>
      <c r="L379" s="441"/>
    </row>
    <row r="380" spans="1:12" s="448" customFormat="1" ht="24.95" customHeight="1">
      <c r="A380" s="456"/>
      <c r="B380" s="442" t="s">
        <v>554</v>
      </c>
      <c r="C380" s="443" t="s">
        <v>555</v>
      </c>
      <c r="D380" s="438">
        <f>+D381+D382</f>
        <v>6677000</v>
      </c>
      <c r="E380" s="422"/>
      <c r="F380" s="440"/>
      <c r="G380" s="441"/>
      <c r="H380" s="441"/>
      <c r="J380" s="435"/>
      <c r="L380" s="441"/>
    </row>
    <row r="381" spans="1:12" s="448" customFormat="1" ht="24.95" customHeight="1">
      <c r="A381" s="456"/>
      <c r="B381" s="446" t="s">
        <v>556</v>
      </c>
      <c r="C381" s="447" t="s">
        <v>557</v>
      </c>
      <c r="D381" s="491">
        <f>SUMIF('pdc2019'!$G$8:$G$1169,'CE MINISTERIALE 2019'!$B381,'pdc2019'!$Q$8:$Q$1169)</f>
        <v>3039000</v>
      </c>
      <c r="E381" s="422"/>
      <c r="F381" s="423"/>
      <c r="G381" s="441"/>
      <c r="H381" s="441"/>
      <c r="J381" s="435"/>
      <c r="L381" s="441"/>
    </row>
    <row r="382" spans="1:12" s="448" customFormat="1" ht="24.95" customHeight="1">
      <c r="A382" s="456"/>
      <c r="B382" s="446" t="s">
        <v>558</v>
      </c>
      <c r="C382" s="447" t="s">
        <v>559</v>
      </c>
      <c r="D382" s="491">
        <f>SUMIF('pdc2019'!$G$8:$G$1169,'CE MINISTERIALE 2019'!$B382,'pdc2019'!$Q$8:$Q$1169)</f>
        <v>3638000</v>
      </c>
      <c r="E382" s="422"/>
      <c r="F382" s="423"/>
      <c r="G382" s="441"/>
      <c r="H382" s="441"/>
      <c r="J382" s="435"/>
      <c r="L382" s="441"/>
    </row>
    <row r="383" spans="1:12" s="448" customFormat="1" ht="24.95" customHeight="1">
      <c r="A383" s="456"/>
      <c r="B383" s="442" t="s">
        <v>560</v>
      </c>
      <c r="C383" s="443" t="s">
        <v>561</v>
      </c>
      <c r="D383" s="438">
        <f>+D384+D385</f>
        <v>0</v>
      </c>
      <c r="E383" s="422"/>
      <c r="F383" s="440"/>
      <c r="G383" s="441"/>
      <c r="H383" s="441"/>
      <c r="J383" s="435"/>
      <c r="L383" s="441"/>
    </row>
    <row r="384" spans="1:12" s="448" customFormat="1" ht="24.95" customHeight="1">
      <c r="A384" s="456"/>
      <c r="B384" s="446" t="s">
        <v>562</v>
      </c>
      <c r="C384" s="447" t="s">
        <v>563</v>
      </c>
      <c r="D384" s="491">
        <f>SUMIF('pdc2019'!$G$8:$G$1169,'CE MINISTERIALE 2019'!$B384,'pdc2019'!$Q$8:$Q$1169)</f>
        <v>0</v>
      </c>
      <c r="E384" s="422"/>
      <c r="F384" s="423"/>
      <c r="G384" s="441"/>
      <c r="H384" s="441"/>
      <c r="J384" s="435"/>
      <c r="L384" s="441"/>
    </row>
    <row r="385" spans="1:12" s="448" customFormat="1" ht="24.95" customHeight="1">
      <c r="A385" s="456"/>
      <c r="B385" s="446" t="s">
        <v>564</v>
      </c>
      <c r="C385" s="447" t="s">
        <v>565</v>
      </c>
      <c r="D385" s="491">
        <f>SUMIF('pdc2019'!$G$8:$G$1169,'CE MINISTERIALE 2019'!$B385,'pdc2019'!$Q$8:$Q$1169)</f>
        <v>0</v>
      </c>
      <c r="E385" s="422"/>
      <c r="F385" s="423"/>
      <c r="G385" s="441"/>
      <c r="H385" s="441"/>
      <c r="J385" s="435"/>
      <c r="L385" s="441"/>
    </row>
    <row r="386" spans="1:12" s="423" customFormat="1" ht="24.95" customHeight="1">
      <c r="A386" s="453"/>
      <c r="B386" s="442" t="s">
        <v>4814</v>
      </c>
      <c r="C386" s="443" t="s">
        <v>4815</v>
      </c>
      <c r="D386" s="491">
        <f>SUMIF('pdc2019'!$G$8:$G$1169,'CE MINISTERIALE 2019'!$B386,'pdc2019'!$Q$8:$Q$1169)</f>
        <v>0</v>
      </c>
      <c r="E386" s="422"/>
      <c r="G386" s="441"/>
      <c r="H386" s="441"/>
      <c r="J386" s="435"/>
      <c r="L386" s="441"/>
    </row>
    <row r="387" spans="1:12" s="423" customFormat="1" ht="24.95" customHeight="1">
      <c r="A387" s="684" t="s">
        <v>312</v>
      </c>
      <c r="B387" s="442" t="s">
        <v>566</v>
      </c>
      <c r="C387" s="443" t="s">
        <v>4816</v>
      </c>
      <c r="D387" s="491">
        <f>SUMIF('pdc2019'!$G$8:$G$1169,'CE MINISTERIALE 2019'!$B387,'pdc2019'!$Q$8:$Q$1169)</f>
        <v>0</v>
      </c>
      <c r="E387" s="422"/>
      <c r="G387" s="441"/>
      <c r="H387" s="441"/>
      <c r="J387" s="435"/>
      <c r="L387" s="441"/>
    </row>
    <row r="388" spans="1:12" s="448" customFormat="1" ht="24.95" customHeight="1">
      <c r="A388" s="456"/>
      <c r="B388" s="464" t="s">
        <v>567</v>
      </c>
      <c r="C388" s="465" t="s">
        <v>568</v>
      </c>
      <c r="D388" s="438">
        <f>+D389+D403+D412+D421</f>
        <v>638988000</v>
      </c>
      <c r="E388" s="422"/>
      <c r="F388" s="440"/>
      <c r="G388" s="441"/>
      <c r="H388" s="441"/>
      <c r="J388" s="435"/>
      <c r="L388" s="441"/>
    </row>
    <row r="389" spans="1:12" s="448" customFormat="1" ht="24.95" customHeight="1">
      <c r="A389" s="456"/>
      <c r="B389" s="436" t="s">
        <v>569</v>
      </c>
      <c r="C389" s="437" t="s">
        <v>570</v>
      </c>
      <c r="D389" s="438">
        <f>+D390+D399</f>
        <v>498981000</v>
      </c>
      <c r="E389" s="422"/>
      <c r="F389" s="440"/>
      <c r="G389" s="441"/>
      <c r="H389" s="441"/>
      <c r="J389" s="435"/>
      <c r="L389" s="441"/>
    </row>
    <row r="390" spans="1:12" s="448" customFormat="1" ht="24.95" customHeight="1">
      <c r="A390" s="456"/>
      <c r="B390" s="442" t="s">
        <v>571</v>
      </c>
      <c r="C390" s="443" t="s">
        <v>572</v>
      </c>
      <c r="D390" s="438">
        <f>+D391+D395</f>
        <v>255201000</v>
      </c>
      <c r="E390" s="422"/>
      <c r="F390" s="440"/>
      <c r="G390" s="441"/>
      <c r="H390" s="441"/>
      <c r="J390" s="435"/>
      <c r="L390" s="441"/>
    </row>
    <row r="391" spans="1:12" s="448" customFormat="1" ht="24.95" customHeight="1">
      <c r="A391" s="456"/>
      <c r="B391" s="446" t="s">
        <v>573</v>
      </c>
      <c r="C391" s="447" t="s">
        <v>574</v>
      </c>
      <c r="D391" s="438">
        <f>SUM(D392:D394)</f>
        <v>223621000</v>
      </c>
      <c r="E391" s="422"/>
      <c r="F391" s="440"/>
      <c r="G391" s="441"/>
      <c r="H391" s="441"/>
      <c r="J391" s="435"/>
      <c r="L391" s="441"/>
    </row>
    <row r="392" spans="1:12" s="448" customFormat="1" ht="24.95" customHeight="1">
      <c r="A392" s="678"/>
      <c r="B392" s="446" t="s">
        <v>575</v>
      </c>
      <c r="C392" s="447" t="s">
        <v>576</v>
      </c>
      <c r="D392" s="491">
        <f>SUMIF('pdc2019'!$G$8:$G$1169,'CE MINISTERIALE 2019'!$B392,'pdc2019'!$Q$8:$Q$1169)</f>
        <v>177741000</v>
      </c>
      <c r="E392" s="422"/>
      <c r="F392" s="423"/>
      <c r="G392" s="441"/>
      <c r="H392" s="441"/>
      <c r="J392" s="435"/>
      <c r="L392" s="441"/>
    </row>
    <row r="393" spans="1:12" s="448" customFormat="1" ht="24.95" customHeight="1">
      <c r="A393" s="678"/>
      <c r="B393" s="446" t="s">
        <v>578</v>
      </c>
      <c r="C393" s="447" t="s">
        <v>579</v>
      </c>
      <c r="D393" s="491">
        <f>SUMIF('pdc2019'!$G$8:$G$1169,'CE MINISTERIALE 2019'!$B393,'pdc2019'!$Q$8:$Q$1169)</f>
        <v>45804000</v>
      </c>
      <c r="E393" s="422"/>
      <c r="F393" s="423"/>
      <c r="G393" s="441"/>
      <c r="H393" s="441"/>
      <c r="J393" s="435"/>
      <c r="L393" s="441"/>
    </row>
    <row r="394" spans="1:12" s="448" customFormat="1" ht="24.95" customHeight="1">
      <c r="A394" s="678"/>
      <c r="B394" s="446" t="s">
        <v>580</v>
      </c>
      <c r="C394" s="447" t="s">
        <v>581</v>
      </c>
      <c r="D394" s="491">
        <f>SUMIF('pdc2019'!$G$8:$G$1169,'CE MINISTERIALE 2019'!$B394,'pdc2019'!$Q$8:$Q$1169)</f>
        <v>76000</v>
      </c>
      <c r="E394" s="422"/>
      <c r="F394" s="423"/>
      <c r="G394" s="441"/>
      <c r="H394" s="441"/>
      <c r="J394" s="435"/>
      <c r="L394" s="441"/>
    </row>
    <row r="395" spans="1:12" s="448" customFormat="1" ht="24.95" customHeight="1">
      <c r="A395" s="456"/>
      <c r="B395" s="446" t="s">
        <v>582</v>
      </c>
      <c r="C395" s="447" t="s">
        <v>583</v>
      </c>
      <c r="D395" s="438">
        <f>SUM(D396:D398)</f>
        <v>31580000</v>
      </c>
      <c r="E395" s="422"/>
      <c r="F395" s="440"/>
      <c r="G395" s="441"/>
      <c r="H395" s="441"/>
      <c r="J395" s="435"/>
      <c r="L395" s="441"/>
    </row>
    <row r="396" spans="1:12" s="448" customFormat="1" ht="24.95" customHeight="1">
      <c r="A396" s="678"/>
      <c r="B396" s="446" t="s">
        <v>584</v>
      </c>
      <c r="C396" s="447" t="s">
        <v>585</v>
      </c>
      <c r="D396" s="491">
        <f>SUMIF('pdc2019'!$G$8:$G$1169,'CE MINISTERIALE 2019'!$B396,'pdc2019'!$Q$8:$Q$1169)</f>
        <v>28137000</v>
      </c>
      <c r="E396" s="422"/>
      <c r="F396" s="423"/>
      <c r="G396" s="441"/>
      <c r="H396" s="441"/>
      <c r="J396" s="435"/>
      <c r="L396" s="441"/>
    </row>
    <row r="397" spans="1:12" s="448" customFormat="1" ht="24.95" customHeight="1">
      <c r="A397" s="678"/>
      <c r="B397" s="446" t="s">
        <v>586</v>
      </c>
      <c r="C397" s="447" t="s">
        <v>587</v>
      </c>
      <c r="D397" s="491">
        <f>SUMIF('pdc2019'!$G$8:$G$1169,'CE MINISTERIALE 2019'!$B397,'pdc2019'!$Q$8:$Q$1169)</f>
        <v>3443000</v>
      </c>
      <c r="E397" s="422"/>
      <c r="F397" s="423"/>
      <c r="G397" s="441"/>
      <c r="H397" s="441"/>
      <c r="J397" s="435"/>
      <c r="L397" s="441"/>
    </row>
    <row r="398" spans="1:12" s="448" customFormat="1" ht="24.95" customHeight="1">
      <c r="A398" s="678"/>
      <c r="B398" s="446" t="s">
        <v>588</v>
      </c>
      <c r="C398" s="447" t="s">
        <v>589</v>
      </c>
      <c r="D398" s="491">
        <f>SUMIF('pdc2019'!$G$8:$G$1169,'CE MINISTERIALE 2019'!$B398,'pdc2019'!$Q$8:$Q$1169)</f>
        <v>0</v>
      </c>
      <c r="E398" s="422"/>
      <c r="F398" s="423"/>
      <c r="G398" s="441"/>
      <c r="H398" s="441"/>
      <c r="J398" s="435"/>
      <c r="L398" s="441"/>
    </row>
    <row r="399" spans="1:12" s="448" customFormat="1" ht="24.95" customHeight="1">
      <c r="A399" s="456"/>
      <c r="B399" s="442" t="s">
        <v>590</v>
      </c>
      <c r="C399" s="443" t="s">
        <v>591</v>
      </c>
      <c r="D399" s="438">
        <f>SUM(D400:D402)</f>
        <v>243780000</v>
      </c>
      <c r="E399" s="422"/>
      <c r="F399" s="440"/>
      <c r="G399" s="441"/>
      <c r="H399" s="441"/>
      <c r="J399" s="435"/>
      <c r="L399" s="441"/>
    </row>
    <row r="400" spans="1:12" s="448" customFormat="1" ht="24.95" customHeight="1">
      <c r="A400" s="678"/>
      <c r="B400" s="446" t="s">
        <v>592</v>
      </c>
      <c r="C400" s="447" t="s">
        <v>593</v>
      </c>
      <c r="D400" s="491">
        <f>SUMIF('pdc2019'!$G$8:$G$1169,'CE MINISTERIALE 2019'!$B400,'pdc2019'!$Q$8:$Q$1169)</f>
        <v>207823000</v>
      </c>
      <c r="E400" s="422"/>
      <c r="F400" s="423"/>
      <c r="G400" s="441"/>
      <c r="H400" s="441"/>
      <c r="J400" s="435"/>
      <c r="L400" s="441"/>
    </row>
    <row r="401" spans="1:12" s="448" customFormat="1" ht="24.95" customHeight="1">
      <c r="A401" s="678"/>
      <c r="B401" s="446" t="s">
        <v>1443</v>
      </c>
      <c r="C401" s="447" t="s">
        <v>1444</v>
      </c>
      <c r="D401" s="491">
        <f>SUMIF('pdc2019'!$G$8:$G$1169,'CE MINISTERIALE 2019'!$B401,'pdc2019'!$Q$8:$Q$1169)</f>
        <v>35957000</v>
      </c>
      <c r="E401" s="422"/>
      <c r="F401" s="423"/>
      <c r="G401" s="441"/>
      <c r="H401" s="441"/>
      <c r="J401" s="435"/>
      <c r="L401" s="441"/>
    </row>
    <row r="402" spans="1:12" s="448" customFormat="1" ht="24.95" customHeight="1">
      <c r="A402" s="678"/>
      <c r="B402" s="446" t="s">
        <v>1445</v>
      </c>
      <c r="C402" s="447" t="s">
        <v>1446</v>
      </c>
      <c r="D402" s="491">
        <f>SUMIF('pdc2019'!$G$8:$G$1169,'CE MINISTERIALE 2019'!$B402,'pdc2019'!$Q$8:$Q$1169)</f>
        <v>0</v>
      </c>
      <c r="E402" s="422"/>
      <c r="F402" s="423"/>
      <c r="G402" s="441"/>
      <c r="H402" s="441"/>
      <c r="J402" s="435"/>
      <c r="L402" s="441"/>
    </row>
    <row r="403" spans="1:12" s="448" customFormat="1" ht="24.95" customHeight="1">
      <c r="A403" s="456"/>
      <c r="B403" s="436" t="s">
        <v>1447</v>
      </c>
      <c r="C403" s="437" t="s">
        <v>1448</v>
      </c>
      <c r="D403" s="438">
        <f>+D404+D408</f>
        <v>3208000</v>
      </c>
      <c r="E403" s="422"/>
      <c r="F403" s="440"/>
      <c r="G403" s="441"/>
      <c r="H403" s="441"/>
      <c r="J403" s="435"/>
      <c r="L403" s="441"/>
    </row>
    <row r="404" spans="1:12" s="448" customFormat="1" ht="24.95" customHeight="1">
      <c r="A404" s="456"/>
      <c r="B404" s="442" t="s">
        <v>1449</v>
      </c>
      <c r="C404" s="443" t="s">
        <v>577</v>
      </c>
      <c r="D404" s="438">
        <f>SUM(D405:D407)</f>
        <v>1550000</v>
      </c>
      <c r="E404" s="422"/>
      <c r="F404" s="440"/>
      <c r="G404" s="441"/>
      <c r="H404" s="441"/>
      <c r="J404" s="435"/>
      <c r="L404" s="441"/>
    </row>
    <row r="405" spans="1:12" s="448" customFormat="1" ht="24.95" customHeight="1">
      <c r="A405" s="678"/>
      <c r="B405" s="446" t="s">
        <v>1450</v>
      </c>
      <c r="C405" s="447" t="s">
        <v>1451</v>
      </c>
      <c r="D405" s="491">
        <f>SUMIF('pdc2019'!$G$8:$G$1169,'CE MINISTERIALE 2019'!$B405,'pdc2019'!$Q$8:$Q$1169)</f>
        <v>1530000</v>
      </c>
      <c r="E405" s="422"/>
      <c r="F405" s="423"/>
      <c r="G405" s="441"/>
      <c r="H405" s="441"/>
      <c r="J405" s="435"/>
      <c r="L405" s="441"/>
    </row>
    <row r="406" spans="1:12" s="448" customFormat="1" ht="24.95" customHeight="1">
      <c r="A406" s="678"/>
      <c r="B406" s="446" t="s">
        <v>1452</v>
      </c>
      <c r="C406" s="447" t="s">
        <v>1453</v>
      </c>
      <c r="D406" s="491">
        <f>SUMIF('pdc2019'!$G$8:$G$1169,'CE MINISTERIALE 2019'!$B406,'pdc2019'!$Q$8:$Q$1169)</f>
        <v>20000</v>
      </c>
      <c r="E406" s="422"/>
      <c r="F406" s="423"/>
      <c r="G406" s="441"/>
      <c r="H406" s="441"/>
      <c r="J406" s="435"/>
      <c r="L406" s="441"/>
    </row>
    <row r="407" spans="1:12" s="448" customFormat="1" ht="24.95" customHeight="1">
      <c r="A407" s="678"/>
      <c r="B407" s="446" t="s">
        <v>1454</v>
      </c>
      <c r="C407" s="447" t="s">
        <v>1455</v>
      </c>
      <c r="D407" s="491">
        <f>SUMIF('pdc2019'!$G$8:$G$1169,'CE MINISTERIALE 2019'!$B407,'pdc2019'!$Q$8:$Q$1169)</f>
        <v>0</v>
      </c>
      <c r="E407" s="422"/>
      <c r="F407" s="423"/>
      <c r="G407" s="441"/>
      <c r="H407" s="441"/>
      <c r="J407" s="435"/>
      <c r="L407" s="441"/>
    </row>
    <row r="408" spans="1:12" s="448" customFormat="1" ht="24.95" customHeight="1">
      <c r="A408" s="456"/>
      <c r="B408" s="442" t="s">
        <v>1456</v>
      </c>
      <c r="C408" s="443" t="s">
        <v>1457</v>
      </c>
      <c r="D408" s="438">
        <f>SUM(D409:D411)</f>
        <v>1658000</v>
      </c>
      <c r="E408" s="422"/>
      <c r="F408" s="440"/>
      <c r="G408" s="441"/>
      <c r="H408" s="441"/>
      <c r="J408" s="435"/>
      <c r="L408" s="441"/>
    </row>
    <row r="409" spans="1:12" s="448" customFormat="1" ht="24.95" customHeight="1">
      <c r="A409" s="678"/>
      <c r="B409" s="446" t="s">
        <v>1458</v>
      </c>
      <c r="C409" s="447" t="s">
        <v>1459</v>
      </c>
      <c r="D409" s="491">
        <f>SUMIF('pdc2019'!$G$8:$G$1169,'CE MINISTERIALE 2019'!$B409,'pdc2019'!$Q$8:$Q$1169)</f>
        <v>1397000</v>
      </c>
      <c r="E409" s="422"/>
      <c r="F409" s="423"/>
      <c r="G409" s="441"/>
      <c r="H409" s="441"/>
      <c r="J409" s="435"/>
      <c r="L409" s="441"/>
    </row>
    <row r="410" spans="1:12" s="448" customFormat="1" ht="24.95" customHeight="1">
      <c r="A410" s="678"/>
      <c r="B410" s="446" t="s">
        <v>1460</v>
      </c>
      <c r="C410" s="447" t="s">
        <v>1461</v>
      </c>
      <c r="D410" s="491">
        <f>SUMIF('pdc2019'!$G$8:$G$1169,'CE MINISTERIALE 2019'!$B410,'pdc2019'!$Q$8:$Q$1169)</f>
        <v>261000</v>
      </c>
      <c r="E410" s="422"/>
      <c r="F410" s="423"/>
      <c r="G410" s="441"/>
      <c r="H410" s="441"/>
      <c r="J410" s="435"/>
      <c r="L410" s="441"/>
    </row>
    <row r="411" spans="1:12" s="448" customFormat="1" ht="24.95" customHeight="1">
      <c r="A411" s="678"/>
      <c r="B411" s="446" t="s">
        <v>1462</v>
      </c>
      <c r="C411" s="447" t="s">
        <v>1463</v>
      </c>
      <c r="D411" s="491">
        <f>SUMIF('pdc2019'!$G$8:$G$1169,'CE MINISTERIALE 2019'!$B411,'pdc2019'!$Q$8:$Q$1169)</f>
        <v>0</v>
      </c>
      <c r="E411" s="422"/>
      <c r="F411" s="423"/>
      <c r="G411" s="441"/>
      <c r="H411" s="441"/>
      <c r="J411" s="435"/>
      <c r="L411" s="441"/>
    </row>
    <row r="412" spans="1:12" s="448" customFormat="1" ht="24.95" customHeight="1">
      <c r="A412" s="456"/>
      <c r="B412" s="436" t="s">
        <v>1464</v>
      </c>
      <c r="C412" s="437" t="s">
        <v>1465</v>
      </c>
      <c r="D412" s="438">
        <f>+D413+D417</f>
        <v>82915000</v>
      </c>
      <c r="E412" s="422"/>
      <c r="F412" s="440"/>
      <c r="G412" s="441"/>
      <c r="H412" s="441"/>
      <c r="J412" s="435"/>
      <c r="L412" s="441"/>
    </row>
    <row r="413" spans="1:12" s="448" customFormat="1" ht="24.95" customHeight="1">
      <c r="A413" s="456"/>
      <c r="B413" s="442" t="s">
        <v>1466</v>
      </c>
      <c r="C413" s="443" t="s">
        <v>1467</v>
      </c>
      <c r="D413" s="438">
        <f>SUM(D414:D416)</f>
        <v>932000</v>
      </c>
      <c r="E413" s="422"/>
      <c r="F413" s="440"/>
      <c r="G413" s="441"/>
      <c r="H413" s="441"/>
      <c r="J413" s="435"/>
      <c r="L413" s="441"/>
    </row>
    <row r="414" spans="1:12" s="448" customFormat="1" ht="24.95" customHeight="1">
      <c r="A414" s="678"/>
      <c r="B414" s="446" t="s">
        <v>1468</v>
      </c>
      <c r="C414" s="447" t="s">
        <v>1469</v>
      </c>
      <c r="D414" s="491">
        <f>SUMIF('pdc2019'!$G$8:$G$1169,'CE MINISTERIALE 2019'!$B414,'pdc2019'!$Q$8:$Q$1169)</f>
        <v>886000</v>
      </c>
      <c r="E414" s="422"/>
      <c r="F414" s="423"/>
      <c r="G414" s="441"/>
      <c r="H414" s="441"/>
      <c r="J414" s="435"/>
      <c r="L414" s="441"/>
    </row>
    <row r="415" spans="1:12" s="448" customFormat="1" ht="24.95" customHeight="1">
      <c r="A415" s="678"/>
      <c r="B415" s="446" t="s">
        <v>1470</v>
      </c>
      <c r="C415" s="447" t="s">
        <v>1471</v>
      </c>
      <c r="D415" s="491">
        <f>SUMIF('pdc2019'!$G$8:$G$1169,'CE MINISTERIALE 2019'!$B415,'pdc2019'!$Q$8:$Q$1169)</f>
        <v>46000</v>
      </c>
      <c r="E415" s="422"/>
      <c r="F415" s="423"/>
      <c r="G415" s="441"/>
      <c r="H415" s="441"/>
      <c r="J415" s="435"/>
      <c r="L415" s="441"/>
    </row>
    <row r="416" spans="1:12" s="448" customFormat="1" ht="24.95" customHeight="1">
      <c r="A416" s="678"/>
      <c r="B416" s="446" t="s">
        <v>1472</v>
      </c>
      <c r="C416" s="447" t="s">
        <v>323</v>
      </c>
      <c r="D416" s="491">
        <f>SUMIF('pdc2019'!$G$8:$G$1169,'CE MINISTERIALE 2019'!$B416,'pdc2019'!$Q$8:$Q$1169)</f>
        <v>0</v>
      </c>
      <c r="E416" s="422"/>
      <c r="F416" s="423"/>
      <c r="G416" s="441"/>
      <c r="H416" s="441"/>
      <c r="J416" s="435"/>
      <c r="L416" s="441"/>
    </row>
    <row r="417" spans="1:12" s="448" customFormat="1" ht="24.95" customHeight="1">
      <c r="A417" s="456"/>
      <c r="B417" s="442" t="s">
        <v>324</v>
      </c>
      <c r="C417" s="443" t="s">
        <v>1162</v>
      </c>
      <c r="D417" s="438">
        <f>SUM(D418:D420)</f>
        <v>81983000</v>
      </c>
      <c r="E417" s="422"/>
      <c r="F417" s="440"/>
      <c r="G417" s="441"/>
      <c r="H417" s="441"/>
      <c r="J417" s="435"/>
      <c r="L417" s="441"/>
    </row>
    <row r="418" spans="1:12" s="448" customFormat="1" ht="24.95" customHeight="1">
      <c r="A418" s="678"/>
      <c r="B418" s="446" t="s">
        <v>1163</v>
      </c>
      <c r="C418" s="447" t="s">
        <v>1164</v>
      </c>
      <c r="D418" s="491">
        <f>SUMIF('pdc2019'!$G$8:$G$1169,'CE MINISTERIALE 2019'!$B418,'pdc2019'!$Q$8:$Q$1169)</f>
        <v>77265000</v>
      </c>
      <c r="E418" s="422"/>
      <c r="F418" s="423"/>
      <c r="G418" s="441"/>
      <c r="H418" s="441"/>
      <c r="J418" s="435"/>
      <c r="L418" s="441"/>
    </row>
    <row r="419" spans="1:12" s="448" customFormat="1" ht="24.95" customHeight="1">
      <c r="A419" s="678"/>
      <c r="B419" s="446" t="s">
        <v>1165</v>
      </c>
      <c r="C419" s="447" t="s">
        <v>1166</v>
      </c>
      <c r="D419" s="491">
        <f>SUMIF('pdc2019'!$G$8:$G$1169,'CE MINISTERIALE 2019'!$B419,'pdc2019'!$Q$8:$Q$1169)</f>
        <v>4718000</v>
      </c>
      <c r="E419" s="422"/>
      <c r="F419" s="423"/>
      <c r="G419" s="441"/>
      <c r="H419" s="441"/>
      <c r="J419" s="435"/>
      <c r="L419" s="441"/>
    </row>
    <row r="420" spans="1:12" s="448" customFormat="1" ht="24.95" customHeight="1">
      <c r="A420" s="678"/>
      <c r="B420" s="446" t="s">
        <v>1167</v>
      </c>
      <c r="C420" s="447" t="s">
        <v>1168</v>
      </c>
      <c r="D420" s="491">
        <f>SUMIF('pdc2019'!$G$8:$G$1169,'CE MINISTERIALE 2019'!$B420,'pdc2019'!$Q$8:$Q$1169)</f>
        <v>0</v>
      </c>
      <c r="E420" s="422"/>
      <c r="F420" s="423"/>
      <c r="G420" s="441"/>
      <c r="H420" s="441"/>
      <c r="J420" s="435"/>
      <c r="L420" s="441"/>
    </row>
    <row r="421" spans="1:12" s="448" customFormat="1" ht="24.95" customHeight="1">
      <c r="A421" s="456"/>
      <c r="B421" s="436" t="s">
        <v>1169</v>
      </c>
      <c r="C421" s="437" t="s">
        <v>1170</v>
      </c>
      <c r="D421" s="438">
        <f>+D422+D426</f>
        <v>53884000</v>
      </c>
      <c r="E421" s="422"/>
      <c r="F421" s="440"/>
      <c r="G421" s="441"/>
      <c r="H421" s="441"/>
      <c r="J421" s="435"/>
      <c r="L421" s="441"/>
    </row>
    <row r="422" spans="1:12" s="448" customFormat="1" ht="24.95" customHeight="1">
      <c r="A422" s="456"/>
      <c r="B422" s="442" t="s">
        <v>1171</v>
      </c>
      <c r="C422" s="443" t="s">
        <v>1172</v>
      </c>
      <c r="D422" s="438">
        <f>SUM(D423:D425)</f>
        <v>6827000</v>
      </c>
      <c r="E422" s="422"/>
      <c r="F422" s="440"/>
      <c r="G422" s="441"/>
      <c r="H422" s="441"/>
      <c r="J422" s="435"/>
      <c r="L422" s="441"/>
    </row>
    <row r="423" spans="1:12" s="448" customFormat="1" ht="24.95" customHeight="1">
      <c r="A423" s="678"/>
      <c r="B423" s="446" t="s">
        <v>1173</v>
      </c>
      <c r="C423" s="447" t="s">
        <v>1174</v>
      </c>
      <c r="D423" s="491">
        <f>SUMIF('pdc2019'!$G$8:$G$1169,'CE MINISTERIALE 2019'!$B423,'pdc2019'!$Q$8:$Q$1169)</f>
        <v>6688000</v>
      </c>
      <c r="E423" s="422"/>
      <c r="F423" s="423"/>
      <c r="G423" s="441"/>
      <c r="H423" s="441"/>
      <c r="J423" s="435"/>
      <c r="L423" s="441"/>
    </row>
    <row r="424" spans="1:12" s="448" customFormat="1" ht="24.95" customHeight="1">
      <c r="A424" s="678"/>
      <c r="B424" s="446" t="s">
        <v>1175</v>
      </c>
      <c r="C424" s="447" t="s">
        <v>1176</v>
      </c>
      <c r="D424" s="491">
        <f>SUMIF('pdc2019'!$G$8:$G$1169,'CE MINISTERIALE 2019'!$B424,'pdc2019'!$Q$8:$Q$1169)</f>
        <v>139000</v>
      </c>
      <c r="E424" s="422"/>
      <c r="F424" s="423"/>
      <c r="G424" s="441"/>
      <c r="H424" s="441"/>
      <c r="J424" s="435"/>
      <c r="L424" s="441"/>
    </row>
    <row r="425" spans="1:12" s="448" customFormat="1" ht="24.95" customHeight="1">
      <c r="A425" s="678"/>
      <c r="B425" s="446" t="s">
        <v>1177</v>
      </c>
      <c r="C425" s="447" t="s">
        <v>1178</v>
      </c>
      <c r="D425" s="491">
        <f>SUMIF('pdc2019'!$G$8:$G$1169,'CE MINISTERIALE 2019'!$B425,'pdc2019'!$Q$8:$Q$1169)</f>
        <v>0</v>
      </c>
      <c r="E425" s="422"/>
      <c r="F425" s="423"/>
      <c r="G425" s="441"/>
      <c r="H425" s="441"/>
      <c r="J425" s="435"/>
      <c r="L425" s="441"/>
    </row>
    <row r="426" spans="1:12" s="448" customFormat="1" ht="24.95" customHeight="1">
      <c r="A426" s="456"/>
      <c r="B426" s="442" t="s">
        <v>1179</v>
      </c>
      <c r="C426" s="443" t="s">
        <v>1180</v>
      </c>
      <c r="D426" s="438">
        <f>SUM(D427:D429)</f>
        <v>47057000</v>
      </c>
      <c r="E426" s="422"/>
      <c r="F426" s="440"/>
      <c r="G426" s="441"/>
      <c r="H426" s="441"/>
      <c r="J426" s="435"/>
      <c r="L426" s="441"/>
    </row>
    <row r="427" spans="1:12" s="448" customFormat="1" ht="24.95" customHeight="1">
      <c r="A427" s="678"/>
      <c r="B427" s="446" t="s">
        <v>1181</v>
      </c>
      <c r="C427" s="447" t="s">
        <v>1182</v>
      </c>
      <c r="D427" s="491">
        <f>SUMIF('pdc2019'!$G$8:$G$1169,'CE MINISTERIALE 2019'!$B427,'pdc2019'!$Q$8:$Q$1169)</f>
        <v>44132000</v>
      </c>
      <c r="E427" s="422"/>
      <c r="F427" s="423"/>
      <c r="G427" s="441"/>
      <c r="H427" s="441"/>
      <c r="J427" s="435"/>
      <c r="L427" s="441"/>
    </row>
    <row r="428" spans="1:12" s="448" customFormat="1" ht="24.95" customHeight="1">
      <c r="A428" s="678"/>
      <c r="B428" s="446" t="s">
        <v>1183</v>
      </c>
      <c r="C428" s="447" t="s">
        <v>1184</v>
      </c>
      <c r="D428" s="491">
        <f>SUMIF('pdc2019'!$G$8:$G$1169,'CE MINISTERIALE 2019'!$B428,'pdc2019'!$Q$8:$Q$1169)</f>
        <v>2925000</v>
      </c>
      <c r="E428" s="422"/>
      <c r="F428" s="423"/>
      <c r="G428" s="441"/>
      <c r="H428" s="441"/>
      <c r="J428" s="435"/>
      <c r="L428" s="441"/>
    </row>
    <row r="429" spans="1:12" s="448" customFormat="1" ht="24.95" customHeight="1">
      <c r="A429" s="678"/>
      <c r="B429" s="446" t="s">
        <v>1185</v>
      </c>
      <c r="C429" s="447" t="s">
        <v>1186</v>
      </c>
      <c r="D429" s="491">
        <f>SUMIF('pdc2019'!$G$8:$G$1169,'CE MINISTERIALE 2019'!$B429,'pdc2019'!$Q$8:$Q$1169)</f>
        <v>0</v>
      </c>
      <c r="E429" s="422"/>
      <c r="F429" s="423"/>
      <c r="G429" s="441"/>
      <c r="H429" s="441"/>
      <c r="J429" s="435"/>
      <c r="L429" s="441"/>
    </row>
    <row r="430" spans="1:12" s="448" customFormat="1" ht="24.95" customHeight="1">
      <c r="A430" s="456"/>
      <c r="B430" s="436" t="s">
        <v>1187</v>
      </c>
      <c r="C430" s="437" t="s">
        <v>1188</v>
      </c>
      <c r="D430" s="438">
        <f>+D431+D432+D433</f>
        <v>3526500</v>
      </c>
      <c r="E430" s="422"/>
      <c r="F430" s="440"/>
      <c r="G430" s="441"/>
      <c r="H430" s="441"/>
      <c r="J430" s="435"/>
      <c r="L430" s="441"/>
    </row>
    <row r="431" spans="1:12" s="448" customFormat="1" ht="24.95" customHeight="1">
      <c r="A431" s="456"/>
      <c r="B431" s="442" t="s">
        <v>1189</v>
      </c>
      <c r="C431" s="443" t="s">
        <v>1190</v>
      </c>
      <c r="D431" s="491">
        <f>SUMIF('pdc2019'!$G$8:$G$1169,'CE MINISTERIALE 2019'!$B431,'pdc2019'!$Q$8:$Q$1169)</f>
        <v>532000</v>
      </c>
      <c r="E431" s="422"/>
      <c r="F431" s="423"/>
      <c r="G431" s="441"/>
      <c r="H431" s="441"/>
      <c r="J431" s="435"/>
      <c r="L431" s="441"/>
    </row>
    <row r="432" spans="1:12" s="448" customFormat="1" ht="24.95" customHeight="1">
      <c r="A432" s="456"/>
      <c r="B432" s="442" t="s">
        <v>1191</v>
      </c>
      <c r="C432" s="443" t="s">
        <v>1192</v>
      </c>
      <c r="D432" s="491">
        <f>SUMIF('pdc2019'!$G$8:$G$1169,'CE MINISTERIALE 2019'!$B432,'pdc2019'!$Q$8:$Q$1169)</f>
        <v>5000</v>
      </c>
      <c r="E432" s="422"/>
      <c r="F432" s="423"/>
      <c r="G432" s="441"/>
      <c r="H432" s="441"/>
      <c r="J432" s="435"/>
      <c r="L432" s="441"/>
    </row>
    <row r="433" spans="1:12" s="448" customFormat="1" ht="24.95" customHeight="1">
      <c r="A433" s="456"/>
      <c r="B433" s="442" t="s">
        <v>1193</v>
      </c>
      <c r="C433" s="443" t="s">
        <v>1194</v>
      </c>
      <c r="D433" s="438">
        <f>+D434+D435+D436+D437</f>
        <v>2989500</v>
      </c>
      <c r="E433" s="422"/>
      <c r="F433" s="440"/>
      <c r="G433" s="441"/>
      <c r="H433" s="441"/>
      <c r="J433" s="435"/>
      <c r="L433" s="441"/>
    </row>
    <row r="434" spans="1:12" s="448" customFormat="1" ht="24.95" customHeight="1">
      <c r="A434" s="456"/>
      <c r="B434" s="446" t="s">
        <v>1195</v>
      </c>
      <c r="C434" s="447" t="s">
        <v>1196</v>
      </c>
      <c r="D434" s="491">
        <f>SUMIF('pdc2019'!$G$8:$G$1169,'CE MINISTERIALE 2019'!$B434,'pdc2019'!$Q$8:$Q$1169)</f>
        <v>1769000</v>
      </c>
      <c r="E434" s="422"/>
      <c r="F434" s="423"/>
      <c r="G434" s="441"/>
      <c r="H434" s="441"/>
      <c r="J434" s="435"/>
      <c r="L434" s="441"/>
    </row>
    <row r="435" spans="1:12" s="448" customFormat="1" ht="24.95" customHeight="1">
      <c r="A435" s="678"/>
      <c r="B435" s="446" t="s">
        <v>1197</v>
      </c>
      <c r="C435" s="447" t="s">
        <v>1198</v>
      </c>
      <c r="D435" s="491">
        <f>SUMIF('pdc2019'!$G$8:$G$1169,'CE MINISTERIALE 2019'!$B435,'pdc2019'!$Q$8:$Q$1169)</f>
        <v>1220500</v>
      </c>
      <c r="E435" s="422"/>
      <c r="F435" s="423"/>
      <c r="G435" s="441"/>
      <c r="H435" s="441"/>
      <c r="J435" s="435"/>
      <c r="L435" s="441"/>
    </row>
    <row r="436" spans="1:12" s="457" customFormat="1" ht="24.95" customHeight="1">
      <c r="A436" s="678" t="s">
        <v>312</v>
      </c>
      <c r="B436" s="446" t="s">
        <v>4817</v>
      </c>
      <c r="C436" s="447" t="s">
        <v>4818</v>
      </c>
      <c r="D436" s="491">
        <f>SUMIF('pdc2019'!$G$8:$G$1169,'CE MINISTERIALE 2019'!$B436,'pdc2019'!$Q$8:$Q$1169)</f>
        <v>0</v>
      </c>
      <c r="E436" s="422"/>
      <c r="F436" s="422"/>
      <c r="G436" s="441"/>
      <c r="H436" s="441"/>
      <c r="J436" s="435"/>
      <c r="L436" s="441"/>
    </row>
    <row r="437" spans="1:12" s="457" customFormat="1" ht="24.95" customHeight="1">
      <c r="A437" s="678"/>
      <c r="B437" s="446" t="s">
        <v>4819</v>
      </c>
      <c r="C437" s="447" t="s">
        <v>4820</v>
      </c>
      <c r="D437" s="491">
        <f>SUMIF('pdc2019'!$G$8:$G$1169,'CE MINISTERIALE 2019'!$B437,'pdc2019'!$Q$8:$Q$1169)</f>
        <v>0</v>
      </c>
      <c r="E437" s="422"/>
      <c r="F437" s="422"/>
      <c r="G437" s="441"/>
      <c r="H437" s="441"/>
      <c r="J437" s="435"/>
      <c r="L437" s="441"/>
    </row>
    <row r="438" spans="1:12" s="448" customFormat="1" ht="24.95" customHeight="1">
      <c r="A438" s="456"/>
      <c r="B438" s="464" t="s">
        <v>1199</v>
      </c>
      <c r="C438" s="465" t="s">
        <v>1200</v>
      </c>
      <c r="D438" s="438">
        <f>+D439+D440</f>
        <v>26864000</v>
      </c>
      <c r="E438" s="422"/>
      <c r="F438" s="440"/>
      <c r="G438" s="441"/>
      <c r="H438" s="441"/>
      <c r="J438" s="435"/>
      <c r="L438" s="441"/>
    </row>
    <row r="439" spans="1:12" s="448" customFormat="1" ht="24.95" customHeight="1">
      <c r="A439" s="456"/>
      <c r="B439" s="436" t="s">
        <v>1201</v>
      </c>
      <c r="C439" s="437" t="s">
        <v>1202</v>
      </c>
      <c r="D439" s="491">
        <f>SUMIF('pdc2019'!$G$8:$G$1169,'CE MINISTERIALE 2019'!$B439,'pdc2019'!$Q$8:$Q$1169)</f>
        <v>11144000</v>
      </c>
      <c r="E439" s="422"/>
      <c r="F439" s="423"/>
      <c r="G439" s="441"/>
      <c r="H439" s="441"/>
      <c r="J439" s="435"/>
      <c r="L439" s="441"/>
    </row>
    <row r="440" spans="1:12" s="448" customFormat="1" ht="24.95" customHeight="1">
      <c r="A440" s="456"/>
      <c r="B440" s="436" t="s">
        <v>1203</v>
      </c>
      <c r="C440" s="437" t="s">
        <v>1204</v>
      </c>
      <c r="D440" s="438">
        <f>+D441+D444</f>
        <v>15720000</v>
      </c>
      <c r="E440" s="422"/>
      <c r="F440" s="440"/>
      <c r="G440" s="441"/>
      <c r="H440" s="441"/>
      <c r="J440" s="435"/>
      <c r="L440" s="441"/>
    </row>
    <row r="441" spans="1:12" s="423" customFormat="1" ht="24.95" customHeight="1">
      <c r="A441" s="453"/>
      <c r="B441" s="442" t="s">
        <v>1205</v>
      </c>
      <c r="C441" s="443" t="s">
        <v>4821</v>
      </c>
      <c r="D441" s="438">
        <f>+D442+D443</f>
        <v>0</v>
      </c>
      <c r="E441" s="422"/>
      <c r="F441" s="440"/>
      <c r="G441" s="441"/>
      <c r="H441" s="441"/>
      <c r="J441" s="435"/>
      <c r="L441" s="441"/>
    </row>
    <row r="442" spans="1:12" s="423" customFormat="1" ht="24.95" customHeight="1">
      <c r="A442" s="453"/>
      <c r="B442" s="446" t="s">
        <v>1206</v>
      </c>
      <c r="C442" s="447" t="s">
        <v>4822</v>
      </c>
      <c r="D442" s="491">
        <f>SUMIF('pdc2019'!$G$8:$G$1169,'CE MINISTERIALE 2019'!$B442,'pdc2019'!$Q$8:$Q$1169)</f>
        <v>0</v>
      </c>
      <c r="E442" s="422"/>
      <c r="G442" s="441"/>
      <c r="H442" s="441"/>
      <c r="J442" s="435"/>
      <c r="L442" s="441"/>
    </row>
    <row r="443" spans="1:12" s="423" customFormat="1" ht="24.95" customHeight="1">
      <c r="A443" s="453"/>
      <c r="B443" s="446" t="s">
        <v>1207</v>
      </c>
      <c r="C443" s="447" t="s">
        <v>4823</v>
      </c>
      <c r="D443" s="491">
        <f>SUMIF('pdc2019'!$G$8:$G$1169,'CE MINISTERIALE 2019'!$B443,'pdc2019'!$Q$8:$Q$1169)</f>
        <v>0</v>
      </c>
      <c r="E443" s="422"/>
      <c r="G443" s="441"/>
      <c r="H443" s="441"/>
      <c r="J443" s="435"/>
      <c r="L443" s="441"/>
    </row>
    <row r="444" spans="1:12" s="423" customFormat="1" ht="24.95" customHeight="1">
      <c r="A444" s="453"/>
      <c r="B444" s="436" t="s">
        <v>1208</v>
      </c>
      <c r="C444" s="437" t="s">
        <v>4824</v>
      </c>
      <c r="D444" s="491">
        <f>SUMIF('pdc2019'!$G$8:$G$1169,'CE MINISTERIALE 2019'!$B444,'pdc2019'!$Q$8:$Q$1169)</f>
        <v>15720000</v>
      </c>
      <c r="E444" s="422"/>
      <c r="G444" s="441"/>
      <c r="H444" s="441"/>
      <c r="J444" s="435"/>
      <c r="L444" s="441"/>
    </row>
    <row r="445" spans="1:12" s="423" customFormat="1" ht="24.95" customHeight="1">
      <c r="A445" s="453"/>
      <c r="B445" s="436" t="s">
        <v>1209</v>
      </c>
      <c r="C445" s="437" t="s">
        <v>4825</v>
      </c>
      <c r="D445" s="438">
        <f>+D446+D447</f>
        <v>1050000</v>
      </c>
      <c r="E445" s="422"/>
      <c r="F445" s="440"/>
      <c r="G445" s="441"/>
      <c r="H445" s="441"/>
      <c r="J445" s="435"/>
      <c r="L445" s="441"/>
    </row>
    <row r="446" spans="1:12" s="423" customFormat="1" ht="24.95" customHeight="1">
      <c r="A446" s="453"/>
      <c r="B446" s="442" t="s">
        <v>116</v>
      </c>
      <c r="C446" s="443" t="s">
        <v>4826</v>
      </c>
      <c r="D446" s="491">
        <f>SUMIF('pdc2019'!$G$8:$G$1169,'CE MINISTERIALE 2019'!$B446,'pdc2019'!$Q$8:$Q$1169)</f>
        <v>0</v>
      </c>
      <c r="E446" s="422"/>
      <c r="G446" s="441"/>
      <c r="H446" s="441"/>
      <c r="J446" s="435"/>
      <c r="L446" s="441"/>
    </row>
    <row r="447" spans="1:12" s="423" customFormat="1" ht="24.95" customHeight="1">
      <c r="A447" s="453"/>
      <c r="B447" s="442" t="s">
        <v>117</v>
      </c>
      <c r="C447" s="443" t="s">
        <v>4827</v>
      </c>
      <c r="D447" s="491">
        <f>SUMIF('pdc2019'!$G$8:$G$1169,'CE MINISTERIALE 2019'!$B447,'pdc2019'!$Q$8:$Q$1169)</f>
        <v>1050000</v>
      </c>
      <c r="E447" s="422"/>
      <c r="G447" s="441"/>
      <c r="H447" s="441"/>
      <c r="J447" s="435"/>
      <c r="L447" s="441"/>
    </row>
    <row r="448" spans="1:12" s="423" customFormat="1" ht="24.95" customHeight="1">
      <c r="A448" s="453"/>
      <c r="B448" s="436" t="s">
        <v>118</v>
      </c>
      <c r="C448" s="437" t="s">
        <v>4828</v>
      </c>
      <c r="D448" s="438">
        <f>+D449+D458</f>
        <v>155000</v>
      </c>
      <c r="E448" s="422"/>
      <c r="F448" s="440"/>
      <c r="G448" s="441"/>
      <c r="H448" s="441"/>
      <c r="J448" s="435"/>
      <c r="L448" s="441"/>
    </row>
    <row r="449" spans="1:29" s="423" customFormat="1" ht="24.95" customHeight="1">
      <c r="A449" s="453"/>
      <c r="B449" s="442" t="s">
        <v>119</v>
      </c>
      <c r="C449" s="443" t="s">
        <v>4829</v>
      </c>
      <c r="D449" s="438">
        <f>SUM(D450:D457)</f>
        <v>110000</v>
      </c>
      <c r="E449" s="422"/>
      <c r="F449" s="440"/>
      <c r="G449" s="441"/>
      <c r="H449" s="441"/>
      <c r="J449" s="435"/>
      <c r="L449" s="441"/>
      <c r="AC449" s="514" t="s">
        <v>5236</v>
      </c>
    </row>
    <row r="450" spans="1:29" s="423" customFormat="1" ht="24.95" customHeight="1">
      <c r="A450" s="453"/>
      <c r="B450" s="446" t="s">
        <v>4830</v>
      </c>
      <c r="C450" s="447" t="s">
        <v>4831</v>
      </c>
      <c r="D450" s="491">
        <f>SUMIF('pdc2019'!$G$8:$G$1169,'CE MINISTERIALE 2019'!$B450,'pdc2019'!$Q$8:$Q$1169)</f>
        <v>30000</v>
      </c>
      <c r="E450" s="422"/>
      <c r="G450" s="441"/>
      <c r="H450" s="441"/>
      <c r="J450" s="435"/>
      <c r="L450" s="441"/>
    </row>
    <row r="451" spans="1:29" s="423" customFormat="1" ht="24.95" customHeight="1">
      <c r="A451" s="453"/>
      <c r="B451" s="446" t="s">
        <v>4832</v>
      </c>
      <c r="C451" s="447" t="s">
        <v>4833</v>
      </c>
      <c r="D451" s="491">
        <f>SUMIF('pdc2019'!$G$8:$G$1169,'CE MINISTERIALE 2019'!$B451,'pdc2019'!$Q$8:$Q$1169)</f>
        <v>0</v>
      </c>
      <c r="E451" s="422"/>
      <c r="G451" s="441"/>
      <c r="H451" s="441"/>
      <c r="J451" s="435"/>
      <c r="L451" s="441"/>
    </row>
    <row r="452" spans="1:29" s="423" customFormat="1" ht="24.95" customHeight="1">
      <c r="A452" s="453"/>
      <c r="B452" s="446" t="s">
        <v>4834</v>
      </c>
      <c r="C452" s="447" t="s">
        <v>4835</v>
      </c>
      <c r="D452" s="491">
        <f>SUMIF('pdc2019'!$G$8:$G$1169,'CE MINISTERIALE 2019'!$B452,'pdc2019'!$Q$8:$Q$1169)</f>
        <v>62000</v>
      </c>
      <c r="E452" s="422"/>
      <c r="G452" s="441"/>
      <c r="H452" s="441"/>
      <c r="J452" s="435"/>
      <c r="L452" s="441"/>
    </row>
    <row r="453" spans="1:29" s="423" customFormat="1" ht="24.95" customHeight="1">
      <c r="A453" s="453"/>
      <c r="B453" s="446" t="s">
        <v>4836</v>
      </c>
      <c r="C453" s="447" t="s">
        <v>4837</v>
      </c>
      <c r="D453" s="491">
        <f>SUMIF('pdc2019'!$G$8:$G$1169,'CE MINISTERIALE 2019'!$B453,'pdc2019'!$Q$8:$Q$1169)</f>
        <v>3000</v>
      </c>
      <c r="E453" s="422"/>
      <c r="G453" s="441"/>
      <c r="H453" s="441"/>
      <c r="J453" s="435"/>
      <c r="L453" s="441"/>
    </row>
    <row r="454" spans="1:29" s="423" customFormat="1" ht="24.95" customHeight="1">
      <c r="A454" s="453"/>
      <c r="B454" s="446" t="s">
        <v>4838</v>
      </c>
      <c r="C454" s="447" t="s">
        <v>4839</v>
      </c>
      <c r="D454" s="491">
        <f>SUMIF('pdc2019'!$G$8:$G$1169,'CE MINISTERIALE 2019'!$B454,'pdc2019'!$Q$8:$Q$1169)</f>
        <v>4000</v>
      </c>
      <c r="E454" s="422"/>
      <c r="G454" s="441"/>
      <c r="H454" s="441"/>
      <c r="J454" s="435"/>
      <c r="L454" s="441"/>
    </row>
    <row r="455" spans="1:29" s="423" customFormat="1" ht="24.95" customHeight="1">
      <c r="A455" s="453"/>
      <c r="B455" s="446" t="s">
        <v>4840</v>
      </c>
      <c r="C455" s="447" t="s">
        <v>4841</v>
      </c>
      <c r="D455" s="491">
        <f>SUMIF('pdc2019'!$G$8:$G$1169,'CE MINISTERIALE 2019'!$B455,'pdc2019'!$Q$8:$Q$1169)</f>
        <v>1000</v>
      </c>
      <c r="E455" s="422"/>
      <c r="G455" s="441"/>
      <c r="H455" s="441"/>
      <c r="J455" s="435"/>
      <c r="L455" s="441"/>
    </row>
    <row r="456" spans="1:29" s="423" customFormat="1" ht="24.95" customHeight="1">
      <c r="A456" s="453"/>
      <c r="B456" s="446" t="s">
        <v>4842</v>
      </c>
      <c r="C456" s="447" t="s">
        <v>4843</v>
      </c>
      <c r="D456" s="491">
        <f>SUMIF('pdc2019'!$G$8:$G$1169,'CE MINISTERIALE 2019'!$B456,'pdc2019'!$Q$8:$Q$1169)</f>
        <v>0</v>
      </c>
      <c r="E456" s="422"/>
      <c r="G456" s="441"/>
      <c r="H456" s="441"/>
      <c r="J456" s="435"/>
      <c r="L456" s="441"/>
    </row>
    <row r="457" spans="1:29" s="423" customFormat="1" ht="24.95" customHeight="1">
      <c r="A457" s="453"/>
      <c r="B457" s="446" t="s">
        <v>4844</v>
      </c>
      <c r="C457" s="447" t="s">
        <v>4845</v>
      </c>
      <c r="D457" s="491">
        <f>SUMIF('pdc2019'!$G$8:$G$1169,'CE MINISTERIALE 2019'!$B457,'pdc2019'!$Q$8:$Q$1169)</f>
        <v>10000</v>
      </c>
      <c r="E457" s="422"/>
      <c r="G457" s="441"/>
      <c r="H457" s="441"/>
      <c r="J457" s="435"/>
      <c r="L457" s="441"/>
    </row>
    <row r="458" spans="1:29" s="423" customFormat="1" ht="24.95" customHeight="1">
      <c r="A458" s="453"/>
      <c r="B458" s="442" t="s">
        <v>120</v>
      </c>
      <c r="C458" s="443" t="s">
        <v>4846</v>
      </c>
      <c r="D458" s="438">
        <f>SUM(D459:D464)</f>
        <v>45000</v>
      </c>
      <c r="E458" s="422"/>
      <c r="F458" s="440"/>
      <c r="G458" s="441"/>
      <c r="H458" s="441"/>
      <c r="J458" s="435"/>
      <c r="L458" s="441"/>
      <c r="AC458" s="514" t="s">
        <v>5236</v>
      </c>
    </row>
    <row r="459" spans="1:29" s="423" customFormat="1" ht="24.95" customHeight="1">
      <c r="A459" s="453"/>
      <c r="B459" s="446" t="s">
        <v>4847</v>
      </c>
      <c r="C459" s="447" t="s">
        <v>4848</v>
      </c>
      <c r="D459" s="491">
        <f>SUMIF('pdc2019'!$G$8:$G$1169,'CE MINISTERIALE 2019'!$B459,'pdc2019'!$Q$8:$Q$1169)</f>
        <v>1000</v>
      </c>
      <c r="E459" s="422"/>
      <c r="G459" s="441"/>
      <c r="H459" s="441"/>
      <c r="J459" s="435"/>
      <c r="L459" s="441"/>
    </row>
    <row r="460" spans="1:29" s="423" customFormat="1" ht="24.95" customHeight="1">
      <c r="A460" s="453"/>
      <c r="B460" s="446" t="s">
        <v>4849</v>
      </c>
      <c r="C460" s="447" t="s">
        <v>4850</v>
      </c>
      <c r="D460" s="491">
        <f>SUMIF('pdc2019'!$G$8:$G$1169,'CE MINISTERIALE 2019'!$B460,'pdc2019'!$Q$8:$Q$1169)</f>
        <v>0</v>
      </c>
      <c r="E460" s="422"/>
      <c r="G460" s="441"/>
      <c r="H460" s="441"/>
      <c r="J460" s="435"/>
      <c r="L460" s="441"/>
    </row>
    <row r="461" spans="1:29" s="423" customFormat="1" ht="24.95" customHeight="1">
      <c r="A461" s="453"/>
      <c r="B461" s="446" t="s">
        <v>4851</v>
      </c>
      <c r="C461" s="447" t="s">
        <v>4852</v>
      </c>
      <c r="D461" s="491">
        <f>SUMIF('pdc2019'!$G$8:$G$1169,'CE MINISTERIALE 2019'!$B461,'pdc2019'!$Q$8:$Q$1169)</f>
        <v>0</v>
      </c>
      <c r="E461" s="422"/>
      <c r="G461" s="441"/>
      <c r="H461" s="441"/>
      <c r="J461" s="435"/>
      <c r="L461" s="441"/>
    </row>
    <row r="462" spans="1:29" s="423" customFormat="1" ht="24.95" customHeight="1">
      <c r="A462" s="453"/>
      <c r="B462" s="446" t="s">
        <v>4853</v>
      </c>
      <c r="C462" s="447" t="s">
        <v>4854</v>
      </c>
      <c r="D462" s="491">
        <f>SUMIF('pdc2019'!$G$8:$G$1169,'CE MINISTERIALE 2019'!$B462,'pdc2019'!$Q$8:$Q$1169)</f>
        <v>44000</v>
      </c>
      <c r="E462" s="422"/>
      <c r="G462" s="441"/>
      <c r="H462" s="441"/>
      <c r="J462" s="435"/>
      <c r="L462" s="441"/>
    </row>
    <row r="463" spans="1:29" s="423" customFormat="1" ht="24.95" customHeight="1">
      <c r="A463" s="453"/>
      <c r="B463" s="446" t="s">
        <v>4855</v>
      </c>
      <c r="C463" s="447" t="s">
        <v>4856</v>
      </c>
      <c r="D463" s="491">
        <f>SUMIF('pdc2019'!$G$8:$G$1169,'CE MINISTERIALE 2019'!$B463,'pdc2019'!$Q$8:$Q$1169)</f>
        <v>0</v>
      </c>
      <c r="E463" s="422"/>
      <c r="G463" s="441"/>
      <c r="H463" s="441"/>
      <c r="J463" s="435"/>
      <c r="L463" s="441"/>
    </row>
    <row r="464" spans="1:29" s="423" customFormat="1" ht="24.95" customHeight="1">
      <c r="A464" s="453"/>
      <c r="B464" s="446" t="s">
        <v>4857</v>
      </c>
      <c r="C464" s="447" t="s">
        <v>4858</v>
      </c>
      <c r="D464" s="491">
        <f>SUMIF('pdc2019'!$G$8:$G$1169,'CE MINISTERIALE 2019'!$B464,'pdc2019'!$Q$8:$Q$1169)</f>
        <v>0</v>
      </c>
      <c r="E464" s="422"/>
      <c r="G464" s="441"/>
      <c r="H464" s="441"/>
      <c r="J464" s="435"/>
      <c r="L464" s="441"/>
    </row>
    <row r="465" spans="1:12" s="423" customFormat="1" ht="24.95" customHeight="1">
      <c r="A465" s="453"/>
      <c r="B465" s="436" t="s">
        <v>121</v>
      </c>
      <c r="C465" s="437" t="s">
        <v>4859</v>
      </c>
      <c r="D465" s="438">
        <f>+D466+D474+D475+D482</f>
        <v>8722000</v>
      </c>
      <c r="E465" s="422"/>
      <c r="F465" s="440"/>
      <c r="G465" s="441"/>
      <c r="H465" s="441"/>
      <c r="J465" s="435"/>
      <c r="L465" s="441"/>
    </row>
    <row r="466" spans="1:12" s="423" customFormat="1" ht="24.95" customHeight="1">
      <c r="A466" s="453"/>
      <c r="B466" s="442" t="s">
        <v>122</v>
      </c>
      <c r="C466" s="443" t="s">
        <v>4860</v>
      </c>
      <c r="D466" s="438">
        <f>SUM(D467:D473)</f>
        <v>228000</v>
      </c>
      <c r="E466" s="422"/>
      <c r="F466" s="440"/>
      <c r="G466" s="441"/>
      <c r="H466" s="441"/>
      <c r="J466" s="435"/>
      <c r="L466" s="441"/>
    </row>
    <row r="467" spans="1:12" s="423" customFormat="1" ht="24.95" customHeight="1">
      <c r="A467" s="453"/>
      <c r="B467" s="446" t="s">
        <v>123</v>
      </c>
      <c r="C467" s="447" t="s">
        <v>4861</v>
      </c>
      <c r="D467" s="491">
        <f>SUMIF('pdc2019'!$G$8:$G$1169,'CE MINISTERIALE 2019'!$B467,'pdc2019'!$Q$8:$Q$1169)</f>
        <v>40000</v>
      </c>
      <c r="E467" s="422"/>
      <c r="G467" s="441"/>
      <c r="H467" s="441"/>
      <c r="J467" s="435"/>
      <c r="L467" s="441"/>
    </row>
    <row r="468" spans="1:12" s="423" customFormat="1" ht="24.95" customHeight="1">
      <c r="A468" s="453"/>
      <c r="B468" s="446" t="s">
        <v>124</v>
      </c>
      <c r="C468" s="447" t="s">
        <v>4862</v>
      </c>
      <c r="D468" s="491">
        <f>SUMIF('pdc2019'!$G$8:$G$1169,'CE MINISTERIALE 2019'!$B468,'pdc2019'!$Q$8:$Q$1169)</f>
        <v>88000</v>
      </c>
      <c r="E468" s="422"/>
      <c r="G468" s="441"/>
      <c r="H468" s="441"/>
      <c r="J468" s="435"/>
      <c r="L468" s="441"/>
    </row>
    <row r="469" spans="1:12" s="423" customFormat="1" ht="24.95" customHeight="1">
      <c r="A469" s="453"/>
      <c r="B469" s="446" t="s">
        <v>125</v>
      </c>
      <c r="C469" s="447" t="s">
        <v>4863</v>
      </c>
      <c r="D469" s="491">
        <f>SUMIF('pdc2019'!$G$8:$G$1169,'CE MINISTERIALE 2019'!$B469,'pdc2019'!$Q$8:$Q$1169)</f>
        <v>0</v>
      </c>
      <c r="E469" s="422"/>
      <c r="G469" s="441"/>
      <c r="H469" s="441"/>
      <c r="J469" s="435"/>
      <c r="L469" s="441"/>
    </row>
    <row r="470" spans="1:12" s="423" customFormat="1" ht="24.95" customHeight="1">
      <c r="A470" s="453"/>
      <c r="B470" s="446" t="s">
        <v>126</v>
      </c>
      <c r="C470" s="447" t="s">
        <v>4864</v>
      </c>
      <c r="D470" s="491">
        <f>SUMIF('pdc2019'!$G$8:$G$1169,'CE MINISTERIALE 2019'!$B470,'pdc2019'!$Q$8:$Q$1169)</f>
        <v>0</v>
      </c>
      <c r="E470" s="422"/>
      <c r="G470" s="441"/>
      <c r="H470" s="441"/>
      <c r="J470" s="435"/>
      <c r="L470" s="441"/>
    </row>
    <row r="471" spans="1:12" s="423" customFormat="1" ht="24.95" customHeight="1">
      <c r="A471" s="453"/>
      <c r="B471" s="446" t="s">
        <v>4865</v>
      </c>
      <c r="C471" s="447" t="s">
        <v>4866</v>
      </c>
      <c r="D471" s="491">
        <f>SUMIF('pdc2019'!$G$8:$G$1169,'CE MINISTERIALE 2019'!$B471,'pdc2019'!$Q$8:$Q$1169)</f>
        <v>0</v>
      </c>
      <c r="E471" s="422"/>
      <c r="G471" s="441"/>
      <c r="H471" s="441"/>
      <c r="J471" s="435"/>
      <c r="L471" s="441"/>
    </row>
    <row r="472" spans="1:12" s="423" customFormat="1" ht="24.95" customHeight="1">
      <c r="A472" s="453"/>
      <c r="B472" s="446" t="s">
        <v>127</v>
      </c>
      <c r="C472" s="447" t="s">
        <v>4867</v>
      </c>
      <c r="D472" s="491">
        <f>SUMIF('pdc2019'!$G$8:$G$1169,'CE MINISTERIALE 2019'!$B472,'pdc2019'!$Q$8:$Q$1169)</f>
        <v>100000</v>
      </c>
      <c r="E472" s="422"/>
      <c r="G472" s="441"/>
      <c r="H472" s="441"/>
      <c r="J472" s="435"/>
      <c r="L472" s="441"/>
    </row>
    <row r="473" spans="1:12" s="422" customFormat="1" ht="24.95" customHeight="1">
      <c r="A473" s="453"/>
      <c r="B473" s="446" t="s">
        <v>4868</v>
      </c>
      <c r="C473" s="447" t="s">
        <v>4869</v>
      </c>
      <c r="D473" s="491">
        <f>SUMIF('pdc2019'!$G$8:$G$1169,'CE MINISTERIALE 2019'!$B473,'pdc2019'!$Q$8:$Q$1169)</f>
        <v>0</v>
      </c>
      <c r="G473" s="441"/>
      <c r="H473" s="441"/>
      <c r="J473" s="435"/>
      <c r="L473" s="441"/>
    </row>
    <row r="474" spans="1:12" s="423" customFormat="1" ht="24.95" customHeight="1">
      <c r="A474" s="453"/>
      <c r="B474" s="442" t="s">
        <v>128</v>
      </c>
      <c r="C474" s="443" t="s">
        <v>4870</v>
      </c>
      <c r="D474" s="491">
        <f>SUMIF('pdc2019'!$G$8:$G$1169,'CE MINISTERIALE 2019'!$B474,'pdc2019'!$Q$8:$Q$1169)</f>
        <v>50000</v>
      </c>
      <c r="E474" s="422"/>
      <c r="G474" s="441"/>
      <c r="H474" s="441"/>
      <c r="J474" s="435"/>
      <c r="L474" s="441"/>
    </row>
    <row r="475" spans="1:12" s="423" customFormat="1" ht="24.95" customHeight="1">
      <c r="A475" s="453"/>
      <c r="B475" s="442" t="s">
        <v>129</v>
      </c>
      <c r="C475" s="443" t="s">
        <v>4871</v>
      </c>
      <c r="D475" s="438">
        <f>SUM(D476:D481)</f>
        <v>0</v>
      </c>
      <c r="E475" s="422"/>
      <c r="F475" s="440"/>
      <c r="G475" s="441"/>
      <c r="H475" s="441"/>
      <c r="J475" s="435"/>
      <c r="L475" s="441"/>
    </row>
    <row r="476" spans="1:12" s="423" customFormat="1" ht="24.95" customHeight="1">
      <c r="A476" s="453"/>
      <c r="B476" s="446" t="s">
        <v>4872</v>
      </c>
      <c r="C476" s="447" t="s">
        <v>4873</v>
      </c>
      <c r="D476" s="491">
        <f>SUMIF('pdc2019'!$G$8:$G$1169,'CE MINISTERIALE 2019'!$B476,'pdc2019'!$Q$8:$Q$1169)</f>
        <v>0</v>
      </c>
      <c r="E476" s="422"/>
      <c r="G476" s="441"/>
      <c r="H476" s="441"/>
      <c r="J476" s="435"/>
      <c r="L476" s="441"/>
    </row>
    <row r="477" spans="1:12" s="423" customFormat="1" ht="24.95" customHeight="1">
      <c r="A477" s="453"/>
      <c r="B477" s="446" t="s">
        <v>130</v>
      </c>
      <c r="C477" s="447" t="s">
        <v>4874</v>
      </c>
      <c r="D477" s="491">
        <f>SUMIF('pdc2019'!$G$8:$G$1169,'CE MINISTERIALE 2019'!$B477,'pdc2019'!$Q$8:$Q$1169)</f>
        <v>0</v>
      </c>
      <c r="E477" s="422"/>
      <c r="G477" s="441"/>
      <c r="H477" s="441"/>
      <c r="J477" s="435"/>
      <c r="L477" s="441"/>
    </row>
    <row r="478" spans="1:12" s="423" customFormat="1" ht="24.95" customHeight="1">
      <c r="A478" s="453"/>
      <c r="B478" s="446" t="s">
        <v>801</v>
      </c>
      <c r="C478" s="447" t="s">
        <v>4875</v>
      </c>
      <c r="D478" s="491">
        <f>SUMIF('pdc2019'!$G$8:$G$1169,'CE MINISTERIALE 2019'!$B478,'pdc2019'!$Q$8:$Q$1169)</f>
        <v>0</v>
      </c>
      <c r="E478" s="422"/>
      <c r="G478" s="441"/>
      <c r="H478" s="441"/>
      <c r="J478" s="435"/>
      <c r="L478" s="441"/>
    </row>
    <row r="479" spans="1:12" s="423" customFormat="1" ht="24.95" customHeight="1">
      <c r="A479" s="453"/>
      <c r="B479" s="446" t="s">
        <v>802</v>
      </c>
      <c r="C479" s="447" t="s">
        <v>4876</v>
      </c>
      <c r="D479" s="491">
        <f>SUMIF('pdc2019'!$G$8:$G$1169,'CE MINISTERIALE 2019'!$B479,'pdc2019'!$Q$8:$Q$1169)</f>
        <v>0</v>
      </c>
      <c r="E479" s="422"/>
      <c r="G479" s="441"/>
      <c r="H479" s="441"/>
      <c r="J479" s="435"/>
      <c r="L479" s="441"/>
    </row>
    <row r="480" spans="1:12" s="423" customFormat="1" ht="24.95" customHeight="1">
      <c r="A480" s="453"/>
      <c r="B480" s="446" t="s">
        <v>803</v>
      </c>
      <c r="C480" s="447" t="s">
        <v>4877</v>
      </c>
      <c r="D480" s="491">
        <f>SUMIF('pdc2019'!$G$8:$G$1169,'CE MINISTERIALE 2019'!$B480,'pdc2019'!$Q$8:$Q$1169)</f>
        <v>0</v>
      </c>
      <c r="E480" s="422"/>
      <c r="G480" s="441"/>
      <c r="H480" s="441"/>
      <c r="J480" s="435"/>
      <c r="L480" s="441"/>
    </row>
    <row r="481" spans="1:12" s="422" customFormat="1" ht="24.95" customHeight="1">
      <c r="A481" s="453"/>
      <c r="B481" s="446" t="s">
        <v>4878</v>
      </c>
      <c r="C481" s="447" t="s">
        <v>4879</v>
      </c>
      <c r="D481" s="491">
        <f>SUMIF('pdc2019'!$G$8:$G$1169,'CE MINISTERIALE 2019'!$B481,'pdc2019'!$Q$8:$Q$1169)</f>
        <v>0</v>
      </c>
      <c r="G481" s="441"/>
      <c r="H481" s="441"/>
      <c r="J481" s="435"/>
      <c r="L481" s="441"/>
    </row>
    <row r="482" spans="1:12" s="423" customFormat="1" ht="24.95" customHeight="1">
      <c r="A482" s="453"/>
      <c r="B482" s="442" t="s">
        <v>804</v>
      </c>
      <c r="C482" s="443" t="s">
        <v>4880</v>
      </c>
      <c r="D482" s="438">
        <f>SUM(D483:D492)</f>
        <v>8444000</v>
      </c>
      <c r="E482" s="422"/>
      <c r="F482" s="440"/>
      <c r="G482" s="441"/>
      <c r="H482" s="441"/>
      <c r="J482" s="435"/>
      <c r="L482" s="441"/>
    </row>
    <row r="483" spans="1:12" s="423" customFormat="1" ht="24.95" customHeight="1">
      <c r="A483" s="453"/>
      <c r="B483" s="466" t="s">
        <v>806</v>
      </c>
      <c r="C483" s="467" t="s">
        <v>4881</v>
      </c>
      <c r="D483" s="491">
        <f>SUMIF('pdc2019'!$G$8:$G$1169,'CE MINISTERIALE 2019'!$B483,'pdc2019'!$Q$8:$Q$1169)</f>
        <v>0</v>
      </c>
      <c r="E483" s="422"/>
      <c r="G483" s="441"/>
      <c r="H483" s="441"/>
      <c r="J483" s="435"/>
      <c r="L483" s="441"/>
    </row>
    <row r="484" spans="1:12" s="423" customFormat="1" ht="24.95" customHeight="1">
      <c r="A484" s="453"/>
      <c r="B484" s="466" t="s">
        <v>807</v>
      </c>
      <c r="C484" s="467" t="s">
        <v>4882</v>
      </c>
      <c r="D484" s="491">
        <f>SUMIF('pdc2019'!$G$8:$G$1169,'CE MINISTERIALE 2019'!$B484,'pdc2019'!$Q$8:$Q$1169)</f>
        <v>0</v>
      </c>
      <c r="E484" s="422"/>
      <c r="G484" s="441"/>
      <c r="H484" s="441"/>
      <c r="J484" s="435"/>
      <c r="L484" s="441"/>
    </row>
    <row r="485" spans="1:12" s="423" customFormat="1" ht="24.95" customHeight="1">
      <c r="A485" s="453"/>
      <c r="B485" s="466" t="s">
        <v>808</v>
      </c>
      <c r="C485" s="467" t="s">
        <v>4883</v>
      </c>
      <c r="D485" s="491">
        <f>SUMIF('pdc2019'!$G$8:$G$1169,'CE MINISTERIALE 2019'!$B485,'pdc2019'!$Q$8:$Q$1169)</f>
        <v>0</v>
      </c>
      <c r="E485" s="422"/>
      <c r="G485" s="441"/>
      <c r="H485" s="441"/>
      <c r="J485" s="435"/>
      <c r="L485" s="441"/>
    </row>
    <row r="486" spans="1:12" s="423" customFormat="1" ht="24.95" customHeight="1">
      <c r="A486" s="453"/>
      <c r="B486" s="446" t="s">
        <v>809</v>
      </c>
      <c r="C486" s="447" t="s">
        <v>4884</v>
      </c>
      <c r="D486" s="491">
        <f>SUMIF('pdc2019'!$G$8:$G$1169,'CE MINISTERIALE 2019'!$B486,'pdc2019'!$Q$8:$Q$1169)</f>
        <v>0</v>
      </c>
      <c r="E486" s="422"/>
      <c r="G486" s="441"/>
      <c r="H486" s="441"/>
      <c r="J486" s="435"/>
      <c r="L486" s="441"/>
    </row>
    <row r="487" spans="1:12" s="423" customFormat="1" ht="24.95" customHeight="1">
      <c r="A487" s="453"/>
      <c r="B487" s="446" t="s">
        <v>810</v>
      </c>
      <c r="C487" s="447" t="s">
        <v>4885</v>
      </c>
      <c r="D487" s="491">
        <f>SUMIF('pdc2019'!$G$8:$G$1169,'CE MINISTERIALE 2019'!$B487,'pdc2019'!$Q$8:$Q$1169)</f>
        <v>0</v>
      </c>
      <c r="E487" s="422"/>
      <c r="G487" s="441"/>
      <c r="H487" s="441"/>
      <c r="J487" s="435"/>
      <c r="L487" s="441"/>
    </row>
    <row r="488" spans="1:12" s="423" customFormat="1" ht="24.95" customHeight="1">
      <c r="A488" s="453"/>
      <c r="B488" s="446" t="s">
        <v>4886</v>
      </c>
      <c r="C488" s="447" t="s">
        <v>4887</v>
      </c>
      <c r="D488" s="491">
        <f>SUMIF('pdc2019'!$G$8:$G$1169,'CE MINISTERIALE 2019'!$B488,'pdc2019'!$Q$8:$Q$1169)</f>
        <v>8240000</v>
      </c>
      <c r="E488" s="422"/>
      <c r="G488" s="441"/>
      <c r="H488" s="441"/>
      <c r="J488" s="435"/>
      <c r="L488" s="441"/>
    </row>
    <row r="489" spans="1:12" s="423" customFormat="1" ht="24.95" customHeight="1">
      <c r="A489" s="453"/>
      <c r="B489" s="446" t="s">
        <v>4888</v>
      </c>
      <c r="C489" s="447" t="s">
        <v>4889</v>
      </c>
      <c r="D489" s="491">
        <f>SUMIF('pdc2019'!$G$8:$G$1169,'CE MINISTERIALE 2019'!$B489,'pdc2019'!$Q$8:$Q$1169)</f>
        <v>0</v>
      </c>
      <c r="E489" s="422"/>
      <c r="G489" s="441"/>
      <c r="H489" s="441"/>
      <c r="J489" s="435"/>
      <c r="L489" s="441"/>
    </row>
    <row r="490" spans="1:12" s="423" customFormat="1" ht="24.95" customHeight="1">
      <c r="A490" s="453"/>
      <c r="B490" s="446" t="s">
        <v>4890</v>
      </c>
      <c r="C490" s="447" t="s">
        <v>4891</v>
      </c>
      <c r="D490" s="491">
        <f>SUMIF('pdc2019'!$G$8:$G$1169,'CE MINISTERIALE 2019'!$B490,'pdc2019'!$Q$8:$Q$1169)</f>
        <v>0</v>
      </c>
      <c r="E490" s="422"/>
      <c r="G490" s="441"/>
      <c r="H490" s="441"/>
      <c r="J490" s="435"/>
      <c r="L490" s="441"/>
    </row>
    <row r="491" spans="1:12" s="423" customFormat="1" ht="24.95" customHeight="1">
      <c r="A491" s="453"/>
      <c r="B491" s="446" t="s">
        <v>4892</v>
      </c>
      <c r="C491" s="447" t="s">
        <v>4893</v>
      </c>
      <c r="D491" s="491">
        <f>SUMIF('pdc2019'!$G$8:$G$1169,'CE MINISTERIALE 2019'!$B491,'pdc2019'!$Q$8:$Q$1169)</f>
        <v>0</v>
      </c>
      <c r="E491" s="422"/>
      <c r="G491" s="441"/>
      <c r="H491" s="441"/>
      <c r="J491" s="435"/>
      <c r="L491" s="441"/>
    </row>
    <row r="492" spans="1:12" s="423" customFormat="1" ht="24.95" customHeight="1">
      <c r="A492" s="453"/>
      <c r="B492" s="466" t="s">
        <v>811</v>
      </c>
      <c r="C492" s="468" t="s">
        <v>4894</v>
      </c>
      <c r="D492" s="491">
        <f>SUMIF('pdc2019'!$G$8:$G$1169,'CE MINISTERIALE 2019'!$B492,'pdc2019'!$Q$8:$Q$1169)</f>
        <v>204000</v>
      </c>
      <c r="E492" s="422"/>
      <c r="G492" s="441"/>
      <c r="H492" s="441"/>
      <c r="J492" s="435"/>
      <c r="L492" s="441"/>
    </row>
    <row r="493" spans="1:12" s="448" customFormat="1" ht="24.95" customHeight="1">
      <c r="A493" s="456"/>
      <c r="B493" s="436" t="s">
        <v>812</v>
      </c>
      <c r="C493" s="437" t="s">
        <v>813</v>
      </c>
      <c r="D493" s="438">
        <f>+D465+D448+D438+D430+D388+D378+D370+D201+D161+D445</f>
        <v>1349938042.5699999</v>
      </c>
      <c r="E493" s="422"/>
      <c r="F493" s="440"/>
      <c r="G493" s="441"/>
      <c r="H493" s="441"/>
      <c r="J493" s="435"/>
      <c r="L493" s="441"/>
    </row>
    <row r="494" spans="1:12" s="448" customFormat="1" ht="24.95" customHeight="1">
      <c r="A494" s="456"/>
      <c r="B494" s="449"/>
      <c r="C494" s="437" t="s">
        <v>814</v>
      </c>
      <c r="D494" s="438"/>
      <c r="E494" s="422"/>
      <c r="F494" s="423"/>
      <c r="G494" s="441"/>
      <c r="H494" s="441"/>
      <c r="J494" s="435"/>
      <c r="L494" s="441"/>
    </row>
    <row r="495" spans="1:12" s="448" customFormat="1" ht="24.95" customHeight="1">
      <c r="A495" s="456"/>
      <c r="B495" s="436" t="s">
        <v>815</v>
      </c>
      <c r="C495" s="437" t="s">
        <v>816</v>
      </c>
      <c r="D495" s="438">
        <f>+D496+D497+D498</f>
        <v>15000</v>
      </c>
      <c r="E495" s="422"/>
      <c r="F495" s="440"/>
      <c r="G495" s="441"/>
      <c r="H495" s="441"/>
      <c r="J495" s="435"/>
      <c r="L495" s="441"/>
    </row>
    <row r="496" spans="1:12" s="448" customFormat="1" ht="24.95" customHeight="1">
      <c r="A496" s="456"/>
      <c r="B496" s="442" t="s">
        <v>817</v>
      </c>
      <c r="C496" s="443" t="s">
        <v>818</v>
      </c>
      <c r="D496" s="491">
        <f>SUMIF('pdc2019'!$G$8:$G$1169,'CE MINISTERIALE 2019'!$B496,'pdc2019'!$Q$8:$Q$1169)</f>
        <v>0</v>
      </c>
      <c r="E496" s="422"/>
      <c r="F496" s="423"/>
      <c r="G496" s="441"/>
      <c r="H496" s="441"/>
      <c r="J496" s="435"/>
      <c r="L496" s="441"/>
    </row>
    <row r="497" spans="1:12" s="448" customFormat="1" ht="24.95" customHeight="1">
      <c r="A497" s="456"/>
      <c r="B497" s="442" t="s">
        <v>819</v>
      </c>
      <c r="C497" s="443" t="s">
        <v>820</v>
      </c>
      <c r="D497" s="491">
        <f>SUMIF('pdc2019'!$G$8:$G$1169,'CE MINISTERIALE 2019'!$B497,'pdc2019'!$Q$8:$Q$1169)</f>
        <v>0</v>
      </c>
      <c r="E497" s="422"/>
      <c r="F497" s="423"/>
      <c r="G497" s="441"/>
      <c r="H497" s="441"/>
      <c r="J497" s="435"/>
      <c r="L497" s="441"/>
    </row>
    <row r="498" spans="1:12" s="448" customFormat="1" ht="24.95" customHeight="1">
      <c r="A498" s="456"/>
      <c r="B498" s="442" t="s">
        <v>821</v>
      </c>
      <c r="C498" s="443" t="s">
        <v>822</v>
      </c>
      <c r="D498" s="491">
        <f>SUMIF('pdc2019'!$G$8:$G$1169,'CE MINISTERIALE 2019'!$B498,'pdc2019'!$Q$8:$Q$1169)</f>
        <v>15000</v>
      </c>
      <c r="E498" s="422"/>
      <c r="F498" s="423"/>
      <c r="G498" s="441"/>
      <c r="H498" s="441"/>
      <c r="J498" s="435"/>
      <c r="L498" s="441"/>
    </row>
    <row r="499" spans="1:12" s="448" customFormat="1" ht="24.95" customHeight="1">
      <c r="A499" s="456"/>
      <c r="B499" s="436" t="s">
        <v>823</v>
      </c>
      <c r="C499" s="437" t="s">
        <v>824</v>
      </c>
      <c r="D499" s="438">
        <f>SUM(D500:D504)</f>
        <v>0</v>
      </c>
      <c r="E499" s="422"/>
      <c r="F499" s="440"/>
      <c r="G499" s="441"/>
      <c r="H499" s="441"/>
      <c r="J499" s="435"/>
      <c r="L499" s="441"/>
    </row>
    <row r="500" spans="1:12" s="448" customFormat="1" ht="24.95" customHeight="1">
      <c r="A500" s="456"/>
      <c r="B500" s="442" t="s">
        <v>825</v>
      </c>
      <c r="C500" s="443" t="s">
        <v>826</v>
      </c>
      <c r="D500" s="491">
        <f>SUMIF('pdc2019'!$G$8:$G$1169,'CE MINISTERIALE 2019'!$B500,'pdc2019'!$Q$8:$Q$1169)</f>
        <v>0</v>
      </c>
      <c r="E500" s="422"/>
      <c r="F500" s="423"/>
      <c r="G500" s="441"/>
      <c r="H500" s="441"/>
      <c r="J500" s="435"/>
      <c r="L500" s="441"/>
    </row>
    <row r="501" spans="1:12" s="448" customFormat="1" ht="24.95" customHeight="1">
      <c r="A501" s="456"/>
      <c r="B501" s="442" t="s">
        <v>827</v>
      </c>
      <c r="C501" s="443" t="s">
        <v>828</v>
      </c>
      <c r="D501" s="491">
        <f>SUMIF('pdc2019'!$G$8:$G$1169,'CE MINISTERIALE 2019'!$B501,'pdc2019'!$Q$8:$Q$1169)</f>
        <v>0</v>
      </c>
      <c r="E501" s="422"/>
      <c r="F501" s="423"/>
      <c r="G501" s="441"/>
      <c r="H501" s="441"/>
      <c r="J501" s="435"/>
      <c r="L501" s="441"/>
    </row>
    <row r="502" spans="1:12" s="448" customFormat="1" ht="24.95" customHeight="1">
      <c r="A502" s="456"/>
      <c r="B502" s="442" t="s">
        <v>829</v>
      </c>
      <c r="C502" s="443" t="s">
        <v>830</v>
      </c>
      <c r="D502" s="491">
        <f>SUMIF('pdc2019'!$G$8:$G$1169,'CE MINISTERIALE 2019'!$B502,'pdc2019'!$Q$8:$Q$1169)</f>
        <v>0</v>
      </c>
      <c r="E502" s="422"/>
      <c r="F502" s="423"/>
      <c r="G502" s="441"/>
      <c r="H502" s="441"/>
      <c r="J502" s="435"/>
      <c r="L502" s="441"/>
    </row>
    <row r="503" spans="1:12" s="448" customFormat="1" ht="24.95" customHeight="1">
      <c r="A503" s="456"/>
      <c r="B503" s="442" t="s">
        <v>831</v>
      </c>
      <c r="C503" s="443" t="s">
        <v>832</v>
      </c>
      <c r="D503" s="491">
        <f>SUMIF('pdc2019'!$G$8:$G$1169,'CE MINISTERIALE 2019'!$B503,'pdc2019'!$Q$8:$Q$1169)</f>
        <v>0</v>
      </c>
      <c r="E503" s="422"/>
      <c r="F503" s="423"/>
      <c r="G503" s="441"/>
      <c r="H503" s="441"/>
      <c r="J503" s="435"/>
      <c r="L503" s="441"/>
    </row>
    <row r="504" spans="1:12" s="448" customFormat="1" ht="24.95" customHeight="1">
      <c r="A504" s="456"/>
      <c r="B504" s="442" t="s">
        <v>833</v>
      </c>
      <c r="C504" s="443" t="s">
        <v>834</v>
      </c>
      <c r="D504" s="491">
        <f>SUMIF('pdc2019'!$G$8:$G$1169,'CE MINISTERIALE 2019'!$B504,'pdc2019'!$Q$8:$Q$1169)</f>
        <v>0</v>
      </c>
      <c r="E504" s="422"/>
      <c r="F504" s="423"/>
      <c r="G504" s="441"/>
      <c r="H504" s="441"/>
      <c r="J504" s="435"/>
      <c r="L504" s="441"/>
    </row>
    <row r="505" spans="1:12" s="448" customFormat="1" ht="24.95" customHeight="1">
      <c r="A505" s="456"/>
      <c r="B505" s="436" t="s">
        <v>835</v>
      </c>
      <c r="C505" s="437" t="s">
        <v>836</v>
      </c>
      <c r="D505" s="438">
        <f>SUM(D506:D508)</f>
        <v>20000</v>
      </c>
      <c r="E505" s="422"/>
      <c r="F505" s="440"/>
      <c r="G505" s="441"/>
      <c r="H505" s="441"/>
      <c r="J505" s="435"/>
      <c r="L505" s="441"/>
    </row>
    <row r="506" spans="1:12" s="448" customFormat="1" ht="24.95" customHeight="1">
      <c r="A506" s="456"/>
      <c r="B506" s="442" t="s">
        <v>837</v>
      </c>
      <c r="C506" s="443" t="s">
        <v>838</v>
      </c>
      <c r="D506" s="491">
        <f>SUMIF('pdc2019'!$G$8:$G$1169,'CE MINISTERIALE 2019'!$B506,'pdc2019'!$Q$8:$Q$1169)</f>
        <v>10000</v>
      </c>
      <c r="E506" s="422"/>
      <c r="F506" s="423"/>
      <c r="G506" s="441"/>
      <c r="H506" s="441"/>
      <c r="J506" s="435"/>
      <c r="L506" s="441"/>
    </row>
    <row r="507" spans="1:12" s="448" customFormat="1" ht="24.95" customHeight="1">
      <c r="A507" s="456"/>
      <c r="B507" s="442" t="s">
        <v>839</v>
      </c>
      <c r="C507" s="443" t="s">
        <v>840</v>
      </c>
      <c r="D507" s="491">
        <f>SUMIF('pdc2019'!$G$8:$G$1169,'CE MINISTERIALE 2019'!$B507,'pdc2019'!$Q$8:$Q$1169)</f>
        <v>0</v>
      </c>
      <c r="E507" s="422"/>
      <c r="F507" s="423"/>
      <c r="G507" s="441"/>
      <c r="H507" s="441"/>
      <c r="J507" s="435"/>
      <c r="L507" s="441"/>
    </row>
    <row r="508" spans="1:12" s="448" customFormat="1" ht="24.95" customHeight="1">
      <c r="A508" s="456"/>
      <c r="B508" s="442" t="s">
        <v>841</v>
      </c>
      <c r="C508" s="443" t="s">
        <v>842</v>
      </c>
      <c r="D508" s="491">
        <f>SUMIF('pdc2019'!$G$8:$G$1169,'CE MINISTERIALE 2019'!$B508,'pdc2019'!$Q$8:$Q$1169)</f>
        <v>10000</v>
      </c>
      <c r="E508" s="422"/>
      <c r="F508" s="423"/>
      <c r="G508" s="441"/>
      <c r="H508" s="441"/>
      <c r="J508" s="435"/>
      <c r="L508" s="441"/>
    </row>
    <row r="509" spans="1:12" s="448" customFormat="1" ht="24.95" customHeight="1">
      <c r="A509" s="678"/>
      <c r="B509" s="436" t="s">
        <v>843</v>
      </c>
      <c r="C509" s="437" t="s">
        <v>844</v>
      </c>
      <c r="D509" s="438">
        <f>SUM(D510:D511)</f>
        <v>1000</v>
      </c>
      <c r="E509" s="422"/>
      <c r="F509" s="440"/>
      <c r="G509" s="441"/>
      <c r="H509" s="441"/>
      <c r="J509" s="435"/>
      <c r="L509" s="441"/>
    </row>
    <row r="510" spans="1:12" s="448" customFormat="1" ht="24.95" customHeight="1">
      <c r="A510" s="678"/>
      <c r="B510" s="442" t="s">
        <v>845</v>
      </c>
      <c r="C510" s="443" t="s">
        <v>846</v>
      </c>
      <c r="D510" s="491">
        <f>SUMIF('pdc2019'!$G$8:$G$1169,'CE MINISTERIALE 2019'!$B510,'pdc2019'!$Q$8:$Q$1169)</f>
        <v>1000</v>
      </c>
      <c r="E510" s="422"/>
      <c r="F510" s="423"/>
      <c r="G510" s="441"/>
      <c r="H510" s="441"/>
      <c r="J510" s="435"/>
      <c r="L510" s="441"/>
    </row>
    <row r="511" spans="1:12" s="448" customFormat="1" ht="24.95" customHeight="1">
      <c r="A511" s="456"/>
      <c r="B511" s="442" t="s">
        <v>847</v>
      </c>
      <c r="C511" s="443" t="s">
        <v>848</v>
      </c>
      <c r="D511" s="491">
        <f>SUMIF('pdc2019'!$G$8:$G$1169,'CE MINISTERIALE 2019'!$B511,'pdc2019'!$Q$8:$Q$1169)</f>
        <v>0</v>
      </c>
      <c r="E511" s="422"/>
      <c r="F511" s="423"/>
      <c r="G511" s="441"/>
      <c r="H511" s="441"/>
      <c r="J511" s="435"/>
      <c r="L511" s="441"/>
    </row>
    <row r="512" spans="1:12" s="448" customFormat="1" ht="24.95" customHeight="1">
      <c r="A512" s="678"/>
      <c r="B512" s="436" t="s">
        <v>849</v>
      </c>
      <c r="C512" s="437" t="s">
        <v>850</v>
      </c>
      <c r="D512" s="438">
        <f>+D495+D499-D505-D509</f>
        <v>-6000</v>
      </c>
      <c r="E512" s="422"/>
      <c r="F512" s="440"/>
      <c r="G512" s="441"/>
      <c r="H512" s="441"/>
      <c r="J512" s="435"/>
      <c r="L512" s="441"/>
    </row>
    <row r="513" spans="1:12" s="448" customFormat="1" ht="24.95" customHeight="1">
      <c r="A513" s="456"/>
      <c r="B513" s="449"/>
      <c r="C513" s="437" t="s">
        <v>851</v>
      </c>
      <c r="D513" s="491">
        <f>SUMIF('pdc2019'!$G$8:$G$1169,'CE MINISTERIALE 2019'!$B513,'pdc2019'!$Q$8:$Q$1169)</f>
        <v>0</v>
      </c>
      <c r="E513" s="422"/>
      <c r="F513" s="423"/>
      <c r="G513" s="441"/>
      <c r="H513" s="441"/>
      <c r="J513" s="435"/>
      <c r="L513" s="441"/>
    </row>
    <row r="514" spans="1:12" s="448" customFormat="1" ht="24.95" customHeight="1">
      <c r="A514" s="456"/>
      <c r="B514" s="436" t="s">
        <v>852</v>
      </c>
      <c r="C514" s="437" t="s">
        <v>853</v>
      </c>
      <c r="D514" s="491">
        <f>SUMIF('pdc2019'!$G$8:$G$1169,'CE MINISTERIALE 2019'!$B514,'pdc2019'!$Q$8:$Q$1169)</f>
        <v>0</v>
      </c>
      <c r="E514" s="422"/>
      <c r="F514" s="423"/>
      <c r="G514" s="441"/>
      <c r="H514" s="441"/>
      <c r="J514" s="435"/>
      <c r="L514" s="441"/>
    </row>
    <row r="515" spans="1:12" s="448" customFormat="1" ht="24.95" customHeight="1">
      <c r="A515" s="456"/>
      <c r="B515" s="436" t="s">
        <v>854</v>
      </c>
      <c r="C515" s="437" t="s">
        <v>855</v>
      </c>
      <c r="D515" s="491">
        <f>SUMIF('pdc2019'!$G$8:$G$1169,'CE MINISTERIALE 2019'!$B515,'pdc2019'!$Q$8:$Q$1169)</f>
        <v>0</v>
      </c>
      <c r="E515" s="422"/>
      <c r="F515" s="423"/>
      <c r="G515" s="441"/>
      <c r="H515" s="441"/>
      <c r="J515" s="435"/>
      <c r="L515" s="441"/>
    </row>
    <row r="516" spans="1:12" s="448" customFormat="1" ht="24.95" customHeight="1">
      <c r="A516" s="456"/>
      <c r="B516" s="436" t="s">
        <v>856</v>
      </c>
      <c r="C516" s="437" t="s">
        <v>857</v>
      </c>
      <c r="D516" s="438">
        <f>+D514-D515</f>
        <v>0</v>
      </c>
      <c r="E516" s="422"/>
      <c r="F516" s="440"/>
      <c r="G516" s="441"/>
      <c r="H516" s="441"/>
      <c r="J516" s="435"/>
      <c r="L516" s="441"/>
    </row>
    <row r="517" spans="1:12" s="448" customFormat="1" ht="24.95" customHeight="1">
      <c r="A517" s="456"/>
      <c r="B517" s="449"/>
      <c r="C517" s="437" t="s">
        <v>858</v>
      </c>
      <c r="D517" s="491">
        <f>SUMIF('pdc2019'!$G$8:$G$1169,'CE MINISTERIALE 2019'!$B517,'pdc2019'!$Q$8:$Q$1169)</f>
        <v>0</v>
      </c>
      <c r="E517" s="422"/>
      <c r="F517" s="423"/>
      <c r="G517" s="441"/>
      <c r="H517" s="441"/>
      <c r="J517" s="435"/>
      <c r="L517" s="441"/>
    </row>
    <row r="518" spans="1:12" s="448" customFormat="1" ht="24.95" customHeight="1">
      <c r="A518" s="456"/>
      <c r="B518" s="436" t="s">
        <v>859</v>
      </c>
      <c r="C518" s="437" t="s">
        <v>860</v>
      </c>
      <c r="D518" s="438">
        <f>+D519+D520</f>
        <v>5010000</v>
      </c>
      <c r="E518" s="422"/>
      <c r="F518" s="440"/>
      <c r="G518" s="441"/>
      <c r="H518" s="441"/>
      <c r="J518" s="435"/>
      <c r="L518" s="441"/>
    </row>
    <row r="519" spans="1:12" s="448" customFormat="1" ht="24.95" customHeight="1">
      <c r="A519" s="456"/>
      <c r="B519" s="442" t="s">
        <v>861</v>
      </c>
      <c r="C519" s="443" t="s">
        <v>862</v>
      </c>
      <c r="D519" s="491">
        <f>SUMIF('pdc2019'!$G$8:$G$1169,'CE MINISTERIALE 2019'!$B519,'pdc2019'!$Q$8:$Q$1169)</f>
        <v>0</v>
      </c>
      <c r="E519" s="422"/>
      <c r="F519" s="423"/>
      <c r="G519" s="441"/>
      <c r="H519" s="441"/>
      <c r="J519" s="435"/>
      <c r="L519" s="441"/>
    </row>
    <row r="520" spans="1:12" s="448" customFormat="1" ht="24.95" customHeight="1">
      <c r="A520" s="456"/>
      <c r="B520" s="442" t="s">
        <v>863</v>
      </c>
      <c r="C520" s="443" t="s">
        <v>864</v>
      </c>
      <c r="D520" s="438">
        <f>+D521+D522+D533+D543</f>
        <v>5010000</v>
      </c>
      <c r="E520" s="422"/>
      <c r="F520" s="440"/>
      <c r="G520" s="441"/>
      <c r="H520" s="441"/>
      <c r="J520" s="435"/>
      <c r="L520" s="441"/>
    </row>
    <row r="521" spans="1:12" s="448" customFormat="1" ht="24.95" customHeight="1">
      <c r="A521" s="456"/>
      <c r="B521" s="446" t="s">
        <v>865</v>
      </c>
      <c r="C521" s="447" t="s">
        <v>866</v>
      </c>
      <c r="D521" s="491">
        <f>SUMIF('pdc2019'!$G$8:$G$1169,'CE MINISTERIALE 2019'!$B521,'pdc2019'!$Q$8:$Q$1169)</f>
        <v>10000</v>
      </c>
      <c r="E521" s="422"/>
      <c r="F521" s="423"/>
      <c r="G521" s="441"/>
      <c r="H521" s="441"/>
      <c r="J521" s="435"/>
      <c r="L521" s="441"/>
    </row>
    <row r="522" spans="1:12" s="448" customFormat="1" ht="24.95" customHeight="1">
      <c r="A522" s="456"/>
      <c r="B522" s="446" t="s">
        <v>867</v>
      </c>
      <c r="C522" s="447" t="s">
        <v>868</v>
      </c>
      <c r="D522" s="438">
        <f>+D523+D524+D525</f>
        <v>5000000</v>
      </c>
      <c r="E522" s="422"/>
      <c r="F522" s="440"/>
      <c r="G522" s="441"/>
      <c r="H522" s="441"/>
      <c r="J522" s="435"/>
      <c r="L522" s="441"/>
    </row>
    <row r="523" spans="1:12" s="423" customFormat="1" ht="24.95" customHeight="1">
      <c r="A523" s="453"/>
      <c r="B523" s="446" t="s">
        <v>4895</v>
      </c>
      <c r="C523" s="447" t="s">
        <v>4896</v>
      </c>
      <c r="D523" s="491">
        <f>SUMIF('pdc2019'!$G$8:$G$1169,'CE MINISTERIALE 2019'!$B523,'pdc2019'!$Q$8:$Q$1169)</f>
        <v>0</v>
      </c>
      <c r="E523" s="422"/>
      <c r="G523" s="441"/>
      <c r="H523" s="441"/>
      <c r="J523" s="435"/>
      <c r="L523" s="441"/>
    </row>
    <row r="524" spans="1:12" s="423" customFormat="1" ht="24.95" customHeight="1">
      <c r="A524" s="453" t="s">
        <v>312</v>
      </c>
      <c r="B524" s="446" t="s">
        <v>869</v>
      </c>
      <c r="C524" s="447" t="s">
        <v>4897</v>
      </c>
      <c r="D524" s="491">
        <f>SUMIF('pdc2019'!$G$8:$G$1169,'CE MINISTERIALE 2019'!$B524,'pdc2019'!$Q$8:$Q$1169)</f>
        <v>0</v>
      </c>
      <c r="E524" s="422"/>
      <c r="G524" s="441"/>
      <c r="H524" s="441"/>
      <c r="J524" s="435"/>
      <c r="L524" s="441"/>
    </row>
    <row r="525" spans="1:12" s="423" customFormat="1" ht="24.95" customHeight="1">
      <c r="A525" s="453"/>
      <c r="B525" s="446" t="s">
        <v>870</v>
      </c>
      <c r="C525" s="447" t="s">
        <v>4898</v>
      </c>
      <c r="D525" s="438">
        <f>SUM(D526:D532)</f>
        <v>5000000</v>
      </c>
      <c r="E525" s="422"/>
      <c r="F525" s="440"/>
      <c r="G525" s="441"/>
      <c r="H525" s="441"/>
      <c r="J525" s="435"/>
      <c r="L525" s="441"/>
    </row>
    <row r="526" spans="1:12" s="423" customFormat="1" ht="24.95" customHeight="1">
      <c r="A526" s="453" t="s">
        <v>1589</v>
      </c>
      <c r="B526" s="449" t="s">
        <v>1630</v>
      </c>
      <c r="C526" s="450" t="s">
        <v>4899</v>
      </c>
      <c r="D526" s="491">
        <f>SUMIF('pdc2019'!$G$8:$G$1169,'CE MINISTERIALE 2019'!$B526,'pdc2019'!$Q$8:$Q$1169)</f>
        <v>0</v>
      </c>
      <c r="E526" s="422"/>
      <c r="G526" s="441"/>
      <c r="H526" s="441"/>
      <c r="J526" s="435"/>
      <c r="L526" s="441"/>
    </row>
    <row r="527" spans="1:12" s="423" customFormat="1" ht="24.95" customHeight="1">
      <c r="A527" s="453"/>
      <c r="B527" s="449" t="s">
        <v>1631</v>
      </c>
      <c r="C527" s="450" t="s">
        <v>4900</v>
      </c>
      <c r="D527" s="491">
        <f>SUMIF('pdc2019'!$G$8:$G$1169,'CE MINISTERIALE 2019'!$B527,'pdc2019'!$Q$8:$Q$1169)</f>
        <v>5000000</v>
      </c>
      <c r="E527" s="422"/>
      <c r="G527" s="441"/>
      <c r="H527" s="441"/>
      <c r="J527" s="435"/>
      <c r="L527" s="441"/>
    </row>
    <row r="528" spans="1:12" s="423" customFormat="1" ht="24.95" customHeight="1">
      <c r="A528" s="453"/>
      <c r="B528" s="449" t="s">
        <v>1632</v>
      </c>
      <c r="C528" s="450" t="s">
        <v>4901</v>
      </c>
      <c r="D528" s="491">
        <f>SUMIF('pdc2019'!$G$8:$G$1169,'CE MINISTERIALE 2019'!$B528,'pdc2019'!$Q$8:$Q$1169)</f>
        <v>0</v>
      </c>
      <c r="E528" s="422"/>
      <c r="G528" s="441"/>
      <c r="H528" s="441"/>
      <c r="J528" s="435"/>
      <c r="L528" s="441"/>
    </row>
    <row r="529" spans="1:12" s="423" customFormat="1" ht="24.95" customHeight="1">
      <c r="A529" s="453"/>
      <c r="B529" s="449" t="s">
        <v>1633</v>
      </c>
      <c r="C529" s="450" t="s">
        <v>4902</v>
      </c>
      <c r="D529" s="491">
        <f>SUMIF('pdc2019'!$G$8:$G$1169,'CE MINISTERIALE 2019'!$B529,'pdc2019'!$Q$8:$Q$1169)</f>
        <v>0</v>
      </c>
      <c r="E529" s="422"/>
      <c r="G529" s="441"/>
      <c r="H529" s="441"/>
      <c r="J529" s="435"/>
      <c r="L529" s="441"/>
    </row>
    <row r="530" spans="1:12" s="423" customFormat="1" ht="24.95" customHeight="1">
      <c r="A530" s="453"/>
      <c r="B530" s="449" t="s">
        <v>1634</v>
      </c>
      <c r="C530" s="450" t="s">
        <v>4903</v>
      </c>
      <c r="D530" s="491">
        <f>SUMIF('pdc2019'!$G$8:$G$1169,'CE MINISTERIALE 2019'!$B530,'pdc2019'!$Q$8:$Q$1169)</f>
        <v>0</v>
      </c>
      <c r="E530" s="422"/>
      <c r="G530" s="441"/>
      <c r="H530" s="441"/>
      <c r="J530" s="435"/>
      <c r="L530" s="441"/>
    </row>
    <row r="531" spans="1:12" s="423" customFormat="1" ht="24.95" customHeight="1">
      <c r="A531" s="453"/>
      <c r="B531" s="449" t="s">
        <v>1635</v>
      </c>
      <c r="C531" s="450" t="s">
        <v>4904</v>
      </c>
      <c r="D531" s="491">
        <f>SUMIF('pdc2019'!$G$8:$G$1169,'CE MINISTERIALE 2019'!$B531,'pdc2019'!$Q$8:$Q$1169)</f>
        <v>0</v>
      </c>
      <c r="E531" s="422"/>
      <c r="G531" s="441"/>
      <c r="H531" s="441"/>
      <c r="J531" s="435"/>
      <c r="L531" s="441"/>
    </row>
    <row r="532" spans="1:12" s="423" customFormat="1" ht="24.95" customHeight="1">
      <c r="A532" s="453"/>
      <c r="B532" s="449" t="s">
        <v>1636</v>
      </c>
      <c r="C532" s="450" t="s">
        <v>4905</v>
      </c>
      <c r="D532" s="491">
        <f>SUMIF('pdc2019'!$G$8:$G$1169,'CE MINISTERIALE 2019'!$B532,'pdc2019'!$Q$8:$Q$1169)</f>
        <v>0</v>
      </c>
      <c r="E532" s="422"/>
      <c r="G532" s="441"/>
      <c r="H532" s="441"/>
      <c r="J532" s="435"/>
      <c r="L532" s="441"/>
    </row>
    <row r="533" spans="1:12" s="423" customFormat="1" ht="24.95" customHeight="1">
      <c r="A533" s="453"/>
      <c r="B533" s="446" t="s">
        <v>1637</v>
      </c>
      <c r="C533" s="447" t="s">
        <v>1638</v>
      </c>
      <c r="D533" s="438">
        <f>+D534+D535</f>
        <v>0</v>
      </c>
      <c r="E533" s="422"/>
      <c r="F533" s="440"/>
      <c r="G533" s="441"/>
      <c r="H533" s="441"/>
      <c r="J533" s="435"/>
      <c r="L533" s="441"/>
    </row>
    <row r="534" spans="1:12" s="448" customFormat="1" ht="24.95" customHeight="1">
      <c r="A534" s="456" t="s">
        <v>312</v>
      </c>
      <c r="B534" s="446" t="s">
        <v>1639</v>
      </c>
      <c r="C534" s="447" t="s">
        <v>1640</v>
      </c>
      <c r="D534" s="491">
        <f>SUMIF('pdc2019'!$G$8:$G$1169,'CE MINISTERIALE 2019'!$B534,'pdc2019'!$Q$8:$Q$1169)</f>
        <v>0</v>
      </c>
      <c r="E534" s="422"/>
      <c r="F534" s="423"/>
      <c r="G534" s="441"/>
      <c r="H534" s="441"/>
      <c r="J534" s="435"/>
      <c r="L534" s="441"/>
    </row>
    <row r="535" spans="1:12" s="448" customFormat="1" ht="24.95" customHeight="1">
      <c r="A535" s="456"/>
      <c r="B535" s="446" t="s">
        <v>1641</v>
      </c>
      <c r="C535" s="447" t="s">
        <v>1642</v>
      </c>
      <c r="D535" s="438">
        <f>SUM(D536:D542)</f>
        <v>0</v>
      </c>
      <c r="E535" s="422"/>
      <c r="F535" s="440"/>
      <c r="G535" s="441"/>
      <c r="H535" s="441"/>
      <c r="J535" s="435"/>
      <c r="L535" s="441"/>
    </row>
    <row r="536" spans="1:12" s="448" customFormat="1" ht="24.95" customHeight="1">
      <c r="A536" s="456" t="s">
        <v>1589</v>
      </c>
      <c r="B536" s="449" t="s">
        <v>1643</v>
      </c>
      <c r="C536" s="450" t="s">
        <v>1644</v>
      </c>
      <c r="D536" s="491">
        <f>SUMIF('pdc2019'!$G$8:$G$1169,'CE MINISTERIALE 2019'!$B536,'pdc2019'!$Q$8:$Q$1169)</f>
        <v>0</v>
      </c>
      <c r="E536" s="422"/>
      <c r="F536" s="423"/>
      <c r="G536" s="441"/>
      <c r="H536" s="441"/>
      <c r="J536" s="435"/>
      <c r="L536" s="441"/>
    </row>
    <row r="537" spans="1:12" s="448" customFormat="1" ht="24.95" customHeight="1">
      <c r="A537" s="456"/>
      <c r="B537" s="449" t="s">
        <v>1645</v>
      </c>
      <c r="C537" s="450" t="s">
        <v>1646</v>
      </c>
      <c r="D537" s="491">
        <f>SUMIF('pdc2019'!$G$8:$G$1169,'CE MINISTERIALE 2019'!$B537,'pdc2019'!$Q$8:$Q$1169)</f>
        <v>0</v>
      </c>
      <c r="E537" s="422"/>
      <c r="F537" s="423"/>
      <c r="G537" s="441"/>
      <c r="H537" s="441"/>
      <c r="J537" s="435"/>
      <c r="L537" s="441"/>
    </row>
    <row r="538" spans="1:12" s="448" customFormat="1" ht="24.95" customHeight="1">
      <c r="A538" s="456"/>
      <c r="B538" s="449" t="s">
        <v>413</v>
      </c>
      <c r="C538" s="450" t="s">
        <v>414</v>
      </c>
      <c r="D538" s="491">
        <f>SUMIF('pdc2019'!$G$8:$G$1169,'CE MINISTERIALE 2019'!$B538,'pdc2019'!$Q$8:$Q$1169)</f>
        <v>0</v>
      </c>
      <c r="E538" s="422"/>
      <c r="F538" s="423"/>
      <c r="G538" s="441"/>
      <c r="H538" s="441"/>
      <c r="J538" s="435"/>
      <c r="L538" s="441"/>
    </row>
    <row r="539" spans="1:12" s="448" customFormat="1" ht="24.95" customHeight="1">
      <c r="A539" s="456"/>
      <c r="B539" s="449" t="s">
        <v>415</v>
      </c>
      <c r="C539" s="450" t="s">
        <v>416</v>
      </c>
      <c r="D539" s="491">
        <f>SUMIF('pdc2019'!$G$8:$G$1169,'CE MINISTERIALE 2019'!$B539,'pdc2019'!$Q$8:$Q$1169)</f>
        <v>0</v>
      </c>
      <c r="E539" s="422"/>
      <c r="F539" s="423"/>
      <c r="G539" s="441"/>
      <c r="H539" s="441"/>
      <c r="J539" s="435"/>
      <c r="L539" s="441"/>
    </row>
    <row r="540" spans="1:12" s="448" customFormat="1" ht="24.95" customHeight="1">
      <c r="A540" s="456"/>
      <c r="B540" s="449" t="s">
        <v>417</v>
      </c>
      <c r="C540" s="450" t="s">
        <v>418</v>
      </c>
      <c r="D540" s="491">
        <f>SUMIF('pdc2019'!$G$8:$G$1169,'CE MINISTERIALE 2019'!$B540,'pdc2019'!$Q$8:$Q$1169)</f>
        <v>0</v>
      </c>
      <c r="E540" s="422"/>
      <c r="F540" s="423"/>
      <c r="G540" s="441"/>
      <c r="H540" s="441"/>
      <c r="J540" s="435"/>
      <c r="L540" s="441"/>
    </row>
    <row r="541" spans="1:12" s="448" customFormat="1" ht="24.95" customHeight="1">
      <c r="A541" s="456"/>
      <c r="B541" s="449" t="s">
        <v>419</v>
      </c>
      <c r="C541" s="450" t="s">
        <v>420</v>
      </c>
      <c r="D541" s="491">
        <f>SUMIF('pdc2019'!$G$8:$G$1169,'CE MINISTERIALE 2019'!$B541,'pdc2019'!$Q$8:$Q$1169)</f>
        <v>0</v>
      </c>
      <c r="E541" s="422"/>
      <c r="F541" s="423"/>
      <c r="G541" s="441"/>
      <c r="H541" s="441"/>
      <c r="J541" s="435"/>
      <c r="L541" s="441"/>
    </row>
    <row r="542" spans="1:12" s="448" customFormat="1" ht="24.95" customHeight="1">
      <c r="A542" s="456"/>
      <c r="B542" s="449" t="s">
        <v>421</v>
      </c>
      <c r="C542" s="450" t="s">
        <v>422</v>
      </c>
      <c r="D542" s="491">
        <f>SUMIF('pdc2019'!$G$8:$G$1169,'CE MINISTERIALE 2019'!$B542,'pdc2019'!$Q$8:$Q$1169)</f>
        <v>0</v>
      </c>
      <c r="E542" s="422"/>
      <c r="F542" s="423"/>
      <c r="G542" s="441"/>
      <c r="H542" s="441"/>
      <c r="J542" s="435"/>
      <c r="L542" s="441"/>
    </row>
    <row r="543" spans="1:12" s="448" customFormat="1" ht="24.95" customHeight="1">
      <c r="A543" s="456"/>
      <c r="B543" s="446" t="s">
        <v>423</v>
      </c>
      <c r="C543" s="447" t="s">
        <v>424</v>
      </c>
      <c r="D543" s="491">
        <f>SUMIF('pdc2019'!$G$8:$G$1169,'CE MINISTERIALE 2019'!$B543,'pdc2019'!$Q$8:$Q$1169)</f>
        <v>0</v>
      </c>
      <c r="E543" s="422"/>
      <c r="F543" s="423"/>
      <c r="G543" s="441"/>
      <c r="H543" s="441"/>
      <c r="J543" s="435"/>
      <c r="L543" s="441"/>
    </row>
    <row r="544" spans="1:12" s="448" customFormat="1" ht="24.95" customHeight="1">
      <c r="A544" s="456"/>
      <c r="B544" s="436" t="s">
        <v>425</v>
      </c>
      <c r="C544" s="437" t="s">
        <v>426</v>
      </c>
      <c r="D544" s="438">
        <f>+D545+D546</f>
        <v>152500</v>
      </c>
      <c r="E544" s="422"/>
      <c r="F544" s="440"/>
      <c r="G544" s="441"/>
      <c r="H544" s="441"/>
      <c r="J544" s="435"/>
      <c r="L544" s="441"/>
    </row>
    <row r="545" spans="1:12" s="448" customFormat="1" ht="24.95" customHeight="1">
      <c r="A545" s="456"/>
      <c r="B545" s="442" t="s">
        <v>427</v>
      </c>
      <c r="C545" s="443" t="s">
        <v>428</v>
      </c>
      <c r="D545" s="491">
        <f>SUMIF('pdc2019'!$G$8:$G$1169,'CE MINISTERIALE 2019'!$B545,'pdc2019'!$Q$8:$Q$1169)</f>
        <v>52000</v>
      </c>
      <c r="E545" s="422"/>
      <c r="F545" s="423"/>
      <c r="G545" s="441"/>
      <c r="H545" s="441"/>
      <c r="J545" s="435"/>
      <c r="L545" s="441"/>
    </row>
    <row r="546" spans="1:12" s="448" customFormat="1" ht="24.95" customHeight="1">
      <c r="A546" s="456"/>
      <c r="B546" s="442" t="s">
        <v>429</v>
      </c>
      <c r="C546" s="443" t="s">
        <v>430</v>
      </c>
      <c r="D546" s="438">
        <f>+D547+D548+D549+D564+D575</f>
        <v>100500</v>
      </c>
      <c r="E546" s="422"/>
      <c r="F546" s="440"/>
      <c r="G546" s="441"/>
      <c r="H546" s="441"/>
      <c r="J546" s="435"/>
      <c r="L546" s="441"/>
    </row>
    <row r="547" spans="1:12" s="448" customFormat="1" ht="24.95" customHeight="1">
      <c r="A547" s="456"/>
      <c r="B547" s="446" t="s">
        <v>431</v>
      </c>
      <c r="C547" s="447" t="s">
        <v>432</v>
      </c>
      <c r="D547" s="491">
        <f>SUMIF('pdc2019'!$G$8:$G$1169,'CE MINISTERIALE 2019'!$B547,'pdc2019'!$Q$8:$Q$1169)</f>
        <v>0</v>
      </c>
      <c r="E547" s="422"/>
      <c r="F547" s="423"/>
      <c r="G547" s="441"/>
      <c r="H547" s="441"/>
      <c r="J547" s="435"/>
      <c r="L547" s="441"/>
    </row>
    <row r="548" spans="1:12" s="448" customFormat="1" ht="24.95" customHeight="1">
      <c r="A548" s="456"/>
      <c r="B548" s="446" t="s">
        <v>433</v>
      </c>
      <c r="C548" s="447" t="s">
        <v>434</v>
      </c>
      <c r="D548" s="491">
        <f>SUMIF('pdc2019'!$G$8:$G$1169,'CE MINISTERIALE 2019'!$B548,'pdc2019'!$Q$8:$Q$1169)</f>
        <v>100000</v>
      </c>
      <c r="E548" s="422"/>
      <c r="F548" s="423"/>
      <c r="G548" s="441"/>
      <c r="H548" s="441"/>
      <c r="J548" s="435"/>
      <c r="L548" s="441"/>
    </row>
    <row r="549" spans="1:12" s="448" customFormat="1" ht="24.95" customHeight="1">
      <c r="A549" s="456"/>
      <c r="B549" s="446" t="s">
        <v>435</v>
      </c>
      <c r="C549" s="447" t="s">
        <v>436</v>
      </c>
      <c r="D549" s="438">
        <f>+D550+D553</f>
        <v>0</v>
      </c>
      <c r="E549" s="422"/>
      <c r="F549" s="440"/>
      <c r="G549" s="441"/>
      <c r="H549" s="441"/>
      <c r="J549" s="435"/>
      <c r="L549" s="441"/>
    </row>
    <row r="550" spans="1:12" s="448" customFormat="1" ht="24.95" customHeight="1">
      <c r="A550" s="456" t="s">
        <v>312</v>
      </c>
      <c r="B550" s="446" t="s">
        <v>437</v>
      </c>
      <c r="C550" s="447" t="s">
        <v>438</v>
      </c>
      <c r="D550" s="438">
        <f>+D551+D552</f>
        <v>0</v>
      </c>
      <c r="E550" s="422"/>
      <c r="F550" s="440"/>
      <c r="G550" s="441"/>
      <c r="H550" s="441"/>
      <c r="J550" s="435"/>
      <c r="L550" s="441"/>
    </row>
    <row r="551" spans="1:12" s="448" customFormat="1" ht="24.95" customHeight="1">
      <c r="A551" s="456" t="s">
        <v>312</v>
      </c>
      <c r="B551" s="449" t="s">
        <v>439</v>
      </c>
      <c r="C551" s="450" t="s">
        <v>440</v>
      </c>
      <c r="D551" s="491">
        <f>SUMIF('pdc2019'!$G$8:$G$1169,'CE MINISTERIALE 2019'!$B551,'pdc2019'!$Q$8:$Q$1169)</f>
        <v>0</v>
      </c>
      <c r="E551" s="422"/>
      <c r="F551" s="423"/>
      <c r="G551" s="441"/>
      <c r="H551" s="441"/>
      <c r="J551" s="435"/>
      <c r="L551" s="441"/>
    </row>
    <row r="552" spans="1:12" s="448" customFormat="1" ht="24.95" customHeight="1">
      <c r="A552" s="456" t="s">
        <v>312</v>
      </c>
      <c r="B552" s="449" t="s">
        <v>441</v>
      </c>
      <c r="C552" s="450" t="s">
        <v>239</v>
      </c>
      <c r="D552" s="491">
        <f>SUMIF('pdc2019'!$G$8:$G$1169,'CE MINISTERIALE 2019'!$B552,'pdc2019'!$Q$8:$Q$1169)</f>
        <v>0</v>
      </c>
      <c r="E552" s="422"/>
      <c r="F552" s="423"/>
      <c r="G552" s="441"/>
      <c r="H552" s="441"/>
      <c r="J552" s="435"/>
      <c r="L552" s="441"/>
    </row>
    <row r="553" spans="1:12" s="448" customFormat="1" ht="24.95" customHeight="1">
      <c r="A553" s="456"/>
      <c r="B553" s="446" t="s">
        <v>240</v>
      </c>
      <c r="C553" s="447" t="s">
        <v>241</v>
      </c>
      <c r="D553" s="438">
        <f>+D554+D555+D559+D560+D561+D562+D563</f>
        <v>0</v>
      </c>
      <c r="E553" s="422"/>
      <c r="F553" s="440"/>
      <c r="G553" s="441"/>
      <c r="H553" s="441"/>
      <c r="J553" s="435"/>
      <c r="L553" s="441"/>
    </row>
    <row r="554" spans="1:12" s="448" customFormat="1" ht="24.95" customHeight="1">
      <c r="A554" s="456" t="s">
        <v>1589</v>
      </c>
      <c r="B554" s="449" t="s">
        <v>242</v>
      </c>
      <c r="C554" s="450" t="s">
        <v>243</v>
      </c>
      <c r="D554" s="491">
        <f>SUMIF('pdc2019'!$G$8:$G$1169,'CE MINISTERIALE 2019'!$B554,'pdc2019'!$Q$8:$Q$1169)</f>
        <v>0</v>
      </c>
      <c r="E554" s="422"/>
      <c r="F554" s="423"/>
      <c r="G554" s="441"/>
      <c r="H554" s="441"/>
      <c r="J554" s="435"/>
      <c r="L554" s="441"/>
    </row>
    <row r="555" spans="1:12" s="448" customFormat="1" ht="24.95" customHeight="1">
      <c r="A555" s="456"/>
      <c r="B555" s="449" t="s">
        <v>244</v>
      </c>
      <c r="C555" s="450" t="s">
        <v>245</v>
      </c>
      <c r="D555" s="438">
        <f>+D556+D557+D558</f>
        <v>0</v>
      </c>
      <c r="E555" s="422"/>
      <c r="F555" s="440"/>
      <c r="G555" s="441"/>
      <c r="H555" s="441"/>
      <c r="J555" s="435"/>
      <c r="L555" s="441"/>
    </row>
    <row r="556" spans="1:12" s="448" customFormat="1" ht="24.95" customHeight="1">
      <c r="A556" s="456"/>
      <c r="B556" s="446" t="s">
        <v>246</v>
      </c>
      <c r="C556" s="447" t="s">
        <v>247</v>
      </c>
      <c r="D556" s="491">
        <f>SUMIF('pdc2019'!$G$8:$G$1169,'CE MINISTERIALE 2019'!$B556,'pdc2019'!$Q$8:$Q$1169)</f>
        <v>0</v>
      </c>
      <c r="E556" s="422"/>
      <c r="F556" s="423"/>
      <c r="G556" s="441"/>
      <c r="H556" s="441"/>
      <c r="J556" s="435"/>
      <c r="L556" s="441"/>
    </row>
    <row r="557" spans="1:12" s="448" customFormat="1" ht="24.95" customHeight="1">
      <c r="A557" s="456"/>
      <c r="B557" s="446" t="s">
        <v>248</v>
      </c>
      <c r="C557" s="447" t="s">
        <v>249</v>
      </c>
      <c r="D557" s="491">
        <f>SUMIF('pdc2019'!$G$8:$G$1169,'CE MINISTERIALE 2019'!$B557,'pdc2019'!$Q$8:$Q$1169)</f>
        <v>0</v>
      </c>
      <c r="E557" s="422"/>
      <c r="F557" s="423"/>
      <c r="G557" s="441"/>
      <c r="H557" s="441"/>
      <c r="J557" s="435"/>
      <c r="L557" s="441"/>
    </row>
    <row r="558" spans="1:12" s="448" customFormat="1" ht="24.95" customHeight="1">
      <c r="A558" s="456"/>
      <c r="B558" s="446" t="s">
        <v>250</v>
      </c>
      <c r="C558" s="447" t="s">
        <v>251</v>
      </c>
      <c r="D558" s="491">
        <f>SUMIF('pdc2019'!$G$8:$G$1169,'CE MINISTERIALE 2019'!$B558,'pdc2019'!$Q$8:$Q$1169)</f>
        <v>0</v>
      </c>
      <c r="E558" s="422"/>
      <c r="F558" s="423"/>
      <c r="G558" s="441"/>
      <c r="H558" s="441"/>
      <c r="J558" s="435"/>
      <c r="L558" s="441"/>
    </row>
    <row r="559" spans="1:12" s="448" customFormat="1" ht="24.95" customHeight="1">
      <c r="A559" s="456"/>
      <c r="B559" s="449" t="s">
        <v>252</v>
      </c>
      <c r="C559" s="450" t="s">
        <v>253</v>
      </c>
      <c r="D559" s="491">
        <f>SUMIF('pdc2019'!$G$8:$G$1169,'CE MINISTERIALE 2019'!$B559,'pdc2019'!$Q$8:$Q$1169)</f>
        <v>0</v>
      </c>
      <c r="E559" s="422"/>
      <c r="F559" s="423"/>
      <c r="G559" s="441"/>
      <c r="H559" s="441"/>
      <c r="J559" s="435"/>
      <c r="L559" s="441"/>
    </row>
    <row r="560" spans="1:12" s="448" customFormat="1" ht="24.95" customHeight="1">
      <c r="A560" s="456"/>
      <c r="B560" s="449" t="s">
        <v>254</v>
      </c>
      <c r="C560" s="450" t="s">
        <v>255</v>
      </c>
      <c r="D560" s="491">
        <f>SUMIF('pdc2019'!$G$8:$G$1169,'CE MINISTERIALE 2019'!$B560,'pdc2019'!$Q$8:$Q$1169)</f>
        <v>0</v>
      </c>
      <c r="E560" s="422"/>
      <c r="F560" s="423"/>
      <c r="G560" s="441"/>
      <c r="H560" s="441"/>
      <c r="J560" s="435"/>
      <c r="L560" s="441"/>
    </row>
    <row r="561" spans="1:12" s="448" customFormat="1" ht="24.95" customHeight="1">
      <c r="A561" s="456"/>
      <c r="B561" s="449" t="s">
        <v>256</v>
      </c>
      <c r="C561" s="450" t="s">
        <v>257</v>
      </c>
      <c r="D561" s="491">
        <f>SUMIF('pdc2019'!$G$8:$G$1169,'CE MINISTERIALE 2019'!$B561,'pdc2019'!$Q$8:$Q$1169)</f>
        <v>0</v>
      </c>
      <c r="E561" s="422"/>
      <c r="F561" s="423"/>
      <c r="G561" s="441"/>
      <c r="H561" s="441"/>
      <c r="J561" s="435"/>
      <c r="L561" s="441"/>
    </row>
    <row r="562" spans="1:12" s="448" customFormat="1" ht="24.95" customHeight="1">
      <c r="A562" s="456"/>
      <c r="B562" s="449" t="s">
        <v>258</v>
      </c>
      <c r="C562" s="450" t="s">
        <v>259</v>
      </c>
      <c r="D562" s="491">
        <f>SUMIF('pdc2019'!$G$8:$G$1169,'CE MINISTERIALE 2019'!$B562,'pdc2019'!$Q$8:$Q$1169)</f>
        <v>0</v>
      </c>
      <c r="E562" s="422"/>
      <c r="F562" s="423"/>
      <c r="G562" s="441"/>
      <c r="H562" s="441"/>
      <c r="J562" s="435"/>
      <c r="L562" s="441"/>
    </row>
    <row r="563" spans="1:12" s="448" customFormat="1" ht="24.95" customHeight="1">
      <c r="A563" s="456"/>
      <c r="B563" s="449" t="s">
        <v>260</v>
      </c>
      <c r="C563" s="450" t="s">
        <v>261</v>
      </c>
      <c r="D563" s="491">
        <f>SUMIF('pdc2019'!$G$8:$G$1169,'CE MINISTERIALE 2019'!$B563,'pdc2019'!$Q$8:$Q$1169)</f>
        <v>0</v>
      </c>
      <c r="E563" s="422"/>
      <c r="F563" s="423"/>
      <c r="G563" s="441"/>
      <c r="H563" s="441"/>
      <c r="J563" s="435"/>
      <c r="L563" s="441"/>
    </row>
    <row r="564" spans="1:12" s="448" customFormat="1" ht="24.95" customHeight="1">
      <c r="A564" s="456"/>
      <c r="B564" s="446" t="s">
        <v>262</v>
      </c>
      <c r="C564" s="447" t="s">
        <v>263</v>
      </c>
      <c r="D564" s="438">
        <f>+D565+D566+D567</f>
        <v>0</v>
      </c>
      <c r="E564" s="422"/>
      <c r="F564" s="440"/>
      <c r="G564" s="441"/>
      <c r="H564" s="441"/>
      <c r="J564" s="435"/>
      <c r="L564" s="441"/>
    </row>
    <row r="565" spans="1:12" s="423" customFormat="1" ht="24.95" customHeight="1">
      <c r="A565" s="453"/>
      <c r="B565" s="446" t="s">
        <v>4906</v>
      </c>
      <c r="C565" s="447" t="s">
        <v>4907</v>
      </c>
      <c r="D565" s="491">
        <f>SUMIF('pdc2019'!$G$8:$G$1169,'CE MINISTERIALE 2019'!$B565,'pdc2019'!$Q$8:$Q$1169)</f>
        <v>0</v>
      </c>
      <c r="E565" s="422"/>
      <c r="G565" s="441"/>
      <c r="H565" s="441"/>
      <c r="J565" s="435"/>
      <c r="L565" s="441"/>
    </row>
    <row r="566" spans="1:12" s="423" customFormat="1" ht="24.95" customHeight="1">
      <c r="A566" s="453" t="s">
        <v>312</v>
      </c>
      <c r="B566" s="446" t="s">
        <v>264</v>
      </c>
      <c r="C566" s="447" t="s">
        <v>4908</v>
      </c>
      <c r="D566" s="491">
        <f>SUMIF('pdc2019'!$G$8:$G$1169,'CE MINISTERIALE 2019'!$B566,'pdc2019'!$Q$8:$Q$1169)</f>
        <v>0</v>
      </c>
      <c r="E566" s="422"/>
      <c r="G566" s="441"/>
      <c r="H566" s="441"/>
      <c r="J566" s="435"/>
      <c r="L566" s="441"/>
    </row>
    <row r="567" spans="1:12" s="423" customFormat="1" ht="24.95" customHeight="1">
      <c r="A567" s="453"/>
      <c r="B567" s="446" t="s">
        <v>265</v>
      </c>
      <c r="C567" s="447" t="s">
        <v>4909</v>
      </c>
      <c r="D567" s="438">
        <f>SUM(D568:D574)</f>
        <v>0</v>
      </c>
      <c r="E567" s="422"/>
      <c r="F567" s="440"/>
      <c r="G567" s="441"/>
      <c r="H567" s="441"/>
      <c r="J567" s="435"/>
      <c r="L567" s="441"/>
    </row>
    <row r="568" spans="1:12" s="423" customFormat="1" ht="24.95" customHeight="1">
      <c r="A568" s="453" t="s">
        <v>1589</v>
      </c>
      <c r="B568" s="449" t="s">
        <v>266</v>
      </c>
      <c r="C568" s="450" t="s">
        <v>4910</v>
      </c>
      <c r="D568" s="491">
        <f>SUMIF('pdc2019'!$G$8:$G$1169,'CE MINISTERIALE 2019'!$B568,'pdc2019'!$Q$8:$Q$1169)</f>
        <v>0</v>
      </c>
      <c r="E568" s="422"/>
      <c r="G568" s="441"/>
      <c r="H568" s="441"/>
      <c r="J568" s="435"/>
      <c r="L568" s="441"/>
    </row>
    <row r="569" spans="1:12" s="423" customFormat="1" ht="24.95" customHeight="1">
      <c r="A569" s="453"/>
      <c r="B569" s="449" t="s">
        <v>267</v>
      </c>
      <c r="C569" s="450" t="s">
        <v>4911</v>
      </c>
      <c r="D569" s="491">
        <f>SUMIF('pdc2019'!$G$8:$G$1169,'CE MINISTERIALE 2019'!$B569,'pdc2019'!$Q$8:$Q$1169)</f>
        <v>0</v>
      </c>
      <c r="E569" s="422"/>
      <c r="G569" s="441"/>
      <c r="H569" s="441"/>
      <c r="J569" s="435"/>
      <c r="L569" s="441"/>
    </row>
    <row r="570" spans="1:12" s="423" customFormat="1" ht="24.95" customHeight="1">
      <c r="A570" s="453"/>
      <c r="B570" s="449" t="s">
        <v>268</v>
      </c>
      <c r="C570" s="450" t="s">
        <v>4912</v>
      </c>
      <c r="D570" s="491">
        <f>SUMIF('pdc2019'!$G$8:$G$1169,'CE MINISTERIALE 2019'!$B570,'pdc2019'!$Q$8:$Q$1169)</f>
        <v>0</v>
      </c>
      <c r="E570" s="422"/>
      <c r="G570" s="441"/>
      <c r="H570" s="441"/>
      <c r="J570" s="435"/>
      <c r="L570" s="441"/>
    </row>
    <row r="571" spans="1:12" s="423" customFormat="1" ht="24.95" customHeight="1">
      <c r="A571" s="453"/>
      <c r="B571" s="449" t="s">
        <v>1129</v>
      </c>
      <c r="C571" s="450" t="s">
        <v>4913</v>
      </c>
      <c r="D571" s="491">
        <f>SUMIF('pdc2019'!$G$8:$G$1169,'CE MINISTERIALE 2019'!$B571,'pdc2019'!$Q$8:$Q$1169)</f>
        <v>0</v>
      </c>
      <c r="E571" s="422"/>
      <c r="G571" s="441"/>
      <c r="H571" s="441"/>
      <c r="J571" s="435"/>
      <c r="L571" s="441"/>
    </row>
    <row r="572" spans="1:12" s="423" customFormat="1" ht="24.95" customHeight="1">
      <c r="A572" s="453"/>
      <c r="B572" s="449" t="s">
        <v>1130</v>
      </c>
      <c r="C572" s="450" t="s">
        <v>4914</v>
      </c>
      <c r="D572" s="491">
        <f>SUMIF('pdc2019'!$G$8:$G$1169,'CE MINISTERIALE 2019'!$B572,'pdc2019'!$Q$8:$Q$1169)</f>
        <v>0</v>
      </c>
      <c r="E572" s="422"/>
      <c r="G572" s="441"/>
      <c r="H572" s="441"/>
      <c r="J572" s="435"/>
      <c r="L572" s="441"/>
    </row>
    <row r="573" spans="1:12" s="423" customFormat="1" ht="24.95" customHeight="1">
      <c r="A573" s="453"/>
      <c r="B573" s="449" t="s">
        <v>1131</v>
      </c>
      <c r="C573" s="450" t="s">
        <v>4915</v>
      </c>
      <c r="D573" s="491">
        <f>SUMIF('pdc2019'!$G$8:$G$1169,'CE MINISTERIALE 2019'!$B573,'pdc2019'!$Q$8:$Q$1169)</f>
        <v>0</v>
      </c>
      <c r="E573" s="422"/>
      <c r="G573" s="441"/>
      <c r="H573" s="441"/>
      <c r="J573" s="435"/>
      <c r="L573" s="441"/>
    </row>
    <row r="574" spans="1:12" s="423" customFormat="1" ht="24.95" customHeight="1">
      <c r="A574" s="453"/>
      <c r="B574" s="449" t="s">
        <v>1132</v>
      </c>
      <c r="C574" s="450" t="s">
        <v>4916</v>
      </c>
      <c r="D574" s="491">
        <f>SUMIF('pdc2019'!$G$8:$G$1169,'CE MINISTERIALE 2019'!$B574,'pdc2019'!$Q$8:$Q$1169)</f>
        <v>0</v>
      </c>
      <c r="E574" s="422"/>
      <c r="G574" s="441"/>
      <c r="H574" s="441"/>
      <c r="J574" s="435"/>
      <c r="L574" s="441"/>
    </row>
    <row r="575" spans="1:12" s="448" customFormat="1" ht="24.95" customHeight="1">
      <c r="A575" s="456"/>
      <c r="B575" s="446" t="s">
        <v>1133</v>
      </c>
      <c r="C575" s="447" t="s">
        <v>1134</v>
      </c>
      <c r="D575" s="491">
        <f>SUMIF('pdc2019'!$G$8:$G$1169,'CE MINISTERIALE 2019'!$B575,'pdc2019'!$Q$8:$Q$1169)</f>
        <v>500</v>
      </c>
      <c r="E575" s="422"/>
      <c r="F575" s="423"/>
      <c r="G575" s="469"/>
      <c r="H575" s="469"/>
      <c r="J575" s="435"/>
      <c r="L575" s="441"/>
    </row>
    <row r="576" spans="1:12" s="448" customFormat="1" ht="18.75">
      <c r="A576" s="456"/>
      <c r="B576" s="436" t="s">
        <v>1135</v>
      </c>
      <c r="C576" s="437" t="s">
        <v>1136</v>
      </c>
      <c r="D576" s="438">
        <f>+D518-D544</f>
        <v>4857500</v>
      </c>
      <c r="E576" s="422"/>
      <c r="F576" s="440"/>
      <c r="G576" s="469"/>
      <c r="H576" s="469"/>
      <c r="J576" s="435"/>
      <c r="L576" s="441"/>
    </row>
    <row r="577" spans="1:29" s="448" customFormat="1" ht="24.95" customHeight="1">
      <c r="A577" s="456"/>
      <c r="B577" s="436" t="s">
        <v>1137</v>
      </c>
      <c r="C577" s="437" t="s">
        <v>1138</v>
      </c>
      <c r="D577" s="438">
        <f>+D159-D493+D512+D516+D576</f>
        <v>40469000</v>
      </c>
      <c r="E577" s="422"/>
      <c r="F577" s="440"/>
      <c r="G577" s="470"/>
      <c r="H577" s="470"/>
      <c r="J577" s="435"/>
      <c r="L577" s="441"/>
    </row>
    <row r="578" spans="1:29" s="423" customFormat="1" ht="24.95" customHeight="1">
      <c r="A578" s="453"/>
      <c r="B578" s="449"/>
      <c r="C578" s="437" t="s">
        <v>4917</v>
      </c>
      <c r="D578" s="438"/>
      <c r="E578" s="422"/>
      <c r="G578" s="471"/>
      <c r="H578" s="471"/>
      <c r="J578" s="435"/>
      <c r="L578" s="441"/>
    </row>
    <row r="579" spans="1:29" s="448" customFormat="1" ht="24.75" customHeight="1">
      <c r="A579" s="456"/>
      <c r="B579" s="436" t="s">
        <v>1139</v>
      </c>
      <c r="C579" s="437" t="s">
        <v>1140</v>
      </c>
      <c r="D579" s="438">
        <f>+D580+D581+D582+D583</f>
        <v>40469000</v>
      </c>
      <c r="E579" s="422"/>
      <c r="F579" s="440"/>
      <c r="G579" s="472"/>
      <c r="H579" s="472"/>
      <c r="J579" s="435"/>
      <c r="L579" s="441"/>
    </row>
    <row r="580" spans="1:29" s="448" customFormat="1" ht="24.75" customHeight="1">
      <c r="A580" s="678"/>
      <c r="B580" s="442" t="s">
        <v>1141</v>
      </c>
      <c r="C580" s="443" t="s">
        <v>1142</v>
      </c>
      <c r="D580" s="491">
        <f>SUMIF('pdc2019'!$G$8:$G$1169,'CE MINISTERIALE 2019'!$B580,'pdc2019'!$Q$8:$Q$1169)</f>
        <v>40115000</v>
      </c>
      <c r="E580" s="422"/>
      <c r="F580" s="423"/>
      <c r="G580" s="471"/>
      <c r="H580" s="471"/>
      <c r="J580" s="435"/>
      <c r="L580" s="441"/>
    </row>
    <row r="581" spans="1:29" s="448" customFormat="1" ht="24.75" customHeight="1">
      <c r="A581" s="678"/>
      <c r="B581" s="442" t="s">
        <v>1143</v>
      </c>
      <c r="C581" s="443" t="s">
        <v>1144</v>
      </c>
      <c r="D581" s="491">
        <f>SUMIF('pdc2019'!$G$8:$G$1169,'CE MINISTERIALE 2019'!$B581,'pdc2019'!$Q$8:$Q$1169)</f>
        <v>202000</v>
      </c>
      <c r="E581" s="422"/>
      <c r="F581" s="423"/>
      <c r="G581" s="469"/>
      <c r="H581" s="469"/>
      <c r="J581" s="435"/>
      <c r="L581" s="441"/>
    </row>
    <row r="582" spans="1:29" s="448" customFormat="1" ht="24.75" customHeight="1">
      <c r="A582" s="678"/>
      <c r="B582" s="442" t="s">
        <v>1145</v>
      </c>
      <c r="C582" s="443" t="s">
        <v>1146</v>
      </c>
      <c r="D582" s="491">
        <f>SUMIF('pdc2019'!$G$8:$G$1169,'CE MINISTERIALE 2019'!$B582,'pdc2019'!$Q$8:$Q$1169)</f>
        <v>152000</v>
      </c>
      <c r="E582" s="422"/>
      <c r="F582" s="423"/>
      <c r="G582" s="471"/>
      <c r="H582" s="471"/>
      <c r="J582" s="435"/>
      <c r="L582" s="441"/>
    </row>
    <row r="583" spans="1:29" s="448" customFormat="1" ht="24.75" customHeight="1">
      <c r="A583" s="678"/>
      <c r="B583" s="442" t="s">
        <v>1147</v>
      </c>
      <c r="C583" s="443" t="s">
        <v>1148</v>
      </c>
      <c r="D583" s="491">
        <f>SUMIF('pdc2019'!$G$8:$G$1169,'CE MINISTERIALE 2019'!$B583,'pdc2019'!$Q$8:$Q$1169)</f>
        <v>0</v>
      </c>
      <c r="E583" s="422"/>
      <c r="F583" s="423"/>
      <c r="G583" s="471"/>
      <c r="H583" s="471"/>
      <c r="J583" s="435"/>
      <c r="L583" s="441"/>
    </row>
    <row r="584" spans="1:29" s="448" customFormat="1" ht="24.75" customHeight="1">
      <c r="A584" s="456"/>
      <c r="B584" s="436" t="s">
        <v>1149</v>
      </c>
      <c r="C584" s="437" t="s">
        <v>1150</v>
      </c>
      <c r="D584" s="438">
        <f>+D585+D586</f>
        <v>0</v>
      </c>
      <c r="E584" s="422"/>
      <c r="F584" s="440"/>
      <c r="G584" s="471"/>
      <c r="H584" s="471"/>
      <c r="J584" s="435"/>
      <c r="L584" s="441"/>
    </row>
    <row r="585" spans="1:29" s="448" customFormat="1" ht="24.75" customHeight="1">
      <c r="A585" s="456"/>
      <c r="B585" s="442" t="s">
        <v>1151</v>
      </c>
      <c r="C585" s="443" t="s">
        <v>1152</v>
      </c>
      <c r="D585" s="491">
        <f>SUMIF('pdc2019'!$G$8:$G$1169,'CE MINISTERIALE 2019'!$B585,'pdc2019'!$Q$8:$Q$1169)</f>
        <v>0</v>
      </c>
      <c r="E585" s="422"/>
      <c r="F585" s="423"/>
      <c r="G585" s="472"/>
      <c r="H585" s="472"/>
      <c r="J585" s="435"/>
      <c r="L585" s="441"/>
    </row>
    <row r="586" spans="1:29" s="448" customFormat="1" ht="24.75" customHeight="1">
      <c r="A586" s="456"/>
      <c r="B586" s="442" t="s">
        <v>1153</v>
      </c>
      <c r="C586" s="443" t="s">
        <v>1154</v>
      </c>
      <c r="D586" s="491">
        <f>SUMIF('pdc2019'!$G$8:$G$1169,'CE MINISTERIALE 2019'!$B586,'pdc2019'!$Q$8:$Q$1169)</f>
        <v>0</v>
      </c>
      <c r="E586" s="422"/>
      <c r="F586" s="423"/>
      <c r="G586" s="471"/>
      <c r="H586" s="471"/>
      <c r="J586" s="435"/>
      <c r="L586" s="441"/>
    </row>
    <row r="587" spans="1:29" s="423" customFormat="1" ht="24.75" customHeight="1">
      <c r="A587" s="453"/>
      <c r="B587" s="436" t="s">
        <v>1155</v>
      </c>
      <c r="C587" s="437" t="s">
        <v>1156</v>
      </c>
      <c r="D587" s="491">
        <f>SUMIF('pdc2019'!$G$8:$G$1169,'CE MINISTERIALE 2019'!$B587,'pdc2019'!$Q$8:$Q$1169)</f>
        <v>0</v>
      </c>
      <c r="E587" s="422"/>
      <c r="G587" s="473"/>
      <c r="H587" s="473"/>
      <c r="J587" s="435"/>
      <c r="L587" s="441"/>
    </row>
    <row r="588" spans="1:29" s="423" customFormat="1" ht="24.75" customHeight="1">
      <c r="A588" s="453"/>
      <c r="B588" s="436" t="s">
        <v>1157</v>
      </c>
      <c r="C588" s="437" t="s">
        <v>4918</v>
      </c>
      <c r="D588" s="438">
        <f>+D579+D584+D587</f>
        <v>40469000</v>
      </c>
      <c r="E588" s="422"/>
      <c r="F588" s="440"/>
      <c r="G588" s="474"/>
      <c r="H588" s="474"/>
      <c r="J588" s="435"/>
      <c r="L588" s="441"/>
    </row>
    <row r="589" spans="1:29" s="423" customFormat="1" ht="24.75" customHeight="1" thickBot="1">
      <c r="A589" s="685"/>
      <c r="B589" s="475" t="s">
        <v>1158</v>
      </c>
      <c r="C589" s="476" t="s">
        <v>1159</v>
      </c>
      <c r="D589" s="477">
        <f>+D577-D588</f>
        <v>0</v>
      </c>
      <c r="E589" s="422"/>
      <c r="F589" s="440"/>
      <c r="G589" s="474"/>
      <c r="H589" s="474"/>
      <c r="J589" s="435"/>
      <c r="L589" s="441"/>
    </row>
    <row r="590" spans="1:29" s="33" customFormat="1">
      <c r="A590" s="469"/>
      <c r="B590" s="478"/>
      <c r="C590" s="479"/>
      <c r="D590" s="480"/>
      <c r="E590" s="469"/>
      <c r="F590" s="469"/>
      <c r="G590" s="474"/>
      <c r="H590" s="474"/>
      <c r="I590" s="469"/>
      <c r="J590" s="469"/>
      <c r="K590" s="469"/>
      <c r="L590" s="469"/>
      <c r="M590" s="469"/>
      <c r="N590" s="469"/>
      <c r="O590" s="469"/>
      <c r="P590" s="469"/>
      <c r="Q590" s="469"/>
      <c r="R590" s="469"/>
      <c r="S590" s="469"/>
      <c r="T590" s="469"/>
      <c r="U590" s="469"/>
      <c r="V590" s="469"/>
      <c r="W590" s="469"/>
      <c r="X590" s="469"/>
      <c r="Y590" s="469"/>
      <c r="Z590" s="469"/>
      <c r="AA590" s="469"/>
      <c r="AB590" s="469"/>
      <c r="AC590" s="481"/>
    </row>
    <row r="591" spans="1:29" s="33" customFormat="1">
      <c r="A591" s="469"/>
      <c r="B591" s="48" t="s">
        <v>4919</v>
      </c>
      <c r="C591" s="479"/>
      <c r="D591" s="480"/>
      <c r="E591" s="469"/>
      <c r="F591" s="469"/>
      <c r="G591" s="474"/>
      <c r="H591" s="474"/>
      <c r="I591" s="469"/>
      <c r="J591" s="469"/>
      <c r="K591" s="469"/>
      <c r="L591" s="469"/>
      <c r="M591" s="469"/>
      <c r="N591" s="469"/>
      <c r="O591" s="469"/>
      <c r="P591" s="469"/>
      <c r="Q591" s="469"/>
      <c r="R591" s="469"/>
      <c r="S591" s="469"/>
      <c r="T591" s="469"/>
      <c r="U591" s="469"/>
      <c r="V591" s="469"/>
      <c r="W591" s="469"/>
      <c r="X591" s="469"/>
      <c r="Y591" s="469"/>
      <c r="Z591" s="469"/>
      <c r="AA591" s="469"/>
      <c r="AB591" s="469"/>
      <c r="AC591" s="481"/>
    </row>
    <row r="592" spans="1:29" s="33" customFormat="1">
      <c r="A592" s="482"/>
      <c r="B592" s="363"/>
      <c r="C592" s="483"/>
      <c r="D592" s="484"/>
      <c r="E592" s="470"/>
      <c r="F592" s="470"/>
      <c r="G592" s="474"/>
      <c r="H592" s="474"/>
      <c r="I592" s="470"/>
      <c r="J592" s="470"/>
      <c r="K592" s="470"/>
      <c r="L592" s="470"/>
      <c r="M592" s="470"/>
      <c r="N592" s="470"/>
      <c r="O592" s="470"/>
      <c r="P592" s="470"/>
      <c r="Q592" s="470"/>
      <c r="R592" s="470"/>
      <c r="S592" s="470"/>
      <c r="T592" s="470"/>
      <c r="U592" s="470"/>
      <c r="V592" s="470"/>
      <c r="W592" s="470"/>
      <c r="X592" s="470"/>
      <c r="Y592" s="470"/>
      <c r="Z592" s="470"/>
      <c r="AA592" s="470"/>
      <c r="AB592" s="470"/>
      <c r="AC592" s="485"/>
    </row>
    <row r="593" spans="1:30" s="33" customFormat="1">
      <c r="A593" s="482"/>
      <c r="B593" s="48"/>
      <c r="C593" s="48"/>
      <c r="D593" s="486"/>
      <c r="E593" s="471"/>
      <c r="F593" s="471"/>
      <c r="G593" s="474"/>
      <c r="H593" s="474"/>
      <c r="I593" s="471"/>
      <c r="J593" s="471"/>
      <c r="K593" s="471"/>
      <c r="L593" s="471"/>
      <c r="M593" s="471"/>
      <c r="N593" s="471"/>
      <c r="O593" s="471"/>
      <c r="P593" s="471"/>
      <c r="Q593" s="471"/>
      <c r="R593" s="471"/>
      <c r="S593" s="471"/>
      <c r="T593" s="471"/>
      <c r="U593" s="471"/>
      <c r="V593" s="471"/>
      <c r="W593" s="471"/>
      <c r="X593" s="471"/>
      <c r="Y593" s="471"/>
      <c r="Z593" s="471"/>
      <c r="AA593" s="471"/>
      <c r="AB593" s="471"/>
      <c r="AC593" s="487"/>
    </row>
    <row r="594" spans="1:30" s="34" customFormat="1" ht="15" customHeight="1">
      <c r="A594" s="482"/>
      <c r="B594" s="49" t="s">
        <v>1160</v>
      </c>
      <c r="C594" s="51"/>
      <c r="D594" s="484"/>
      <c r="E594" s="472"/>
      <c r="F594" s="472"/>
      <c r="G594" s="474"/>
      <c r="H594" s="474"/>
      <c r="I594" s="472"/>
      <c r="K594" s="472"/>
      <c r="N594" s="472" t="s">
        <v>4920</v>
      </c>
      <c r="P594" s="472"/>
      <c r="Q594" s="472"/>
      <c r="R594" s="472"/>
      <c r="S594" s="472"/>
      <c r="T594" s="472"/>
      <c r="U594" s="472"/>
      <c r="V594" s="472"/>
      <c r="W594" s="472"/>
      <c r="X594" s="472"/>
      <c r="Y594" s="472"/>
      <c r="Z594" s="472"/>
      <c r="AA594" s="472"/>
      <c r="AB594" s="472"/>
      <c r="AC594" s="378"/>
    </row>
    <row r="595" spans="1:30" s="33" customFormat="1">
      <c r="A595" s="469"/>
      <c r="B595" s="48"/>
      <c r="C595" s="48"/>
      <c r="D595" s="486"/>
      <c r="E595" s="471"/>
      <c r="F595" s="471"/>
      <c r="G595" s="474"/>
      <c r="H595" s="474"/>
      <c r="I595" s="471"/>
      <c r="J595" s="471"/>
      <c r="K595" s="471"/>
      <c r="L595" s="471"/>
      <c r="M595" s="471"/>
      <c r="N595" s="471"/>
      <c r="O595" s="471"/>
      <c r="P595" s="471"/>
      <c r="Q595" s="471"/>
      <c r="R595" s="471"/>
      <c r="S595" s="471"/>
      <c r="T595" s="471"/>
      <c r="U595" s="471"/>
      <c r="V595" s="471"/>
      <c r="W595" s="471"/>
      <c r="X595" s="471"/>
      <c r="Y595" s="471"/>
      <c r="Z595" s="471"/>
      <c r="AA595" s="471"/>
      <c r="AB595" s="471"/>
      <c r="AC595" s="487"/>
    </row>
    <row r="596" spans="1:30" s="33" customFormat="1">
      <c r="A596" s="469"/>
      <c r="B596" s="49" t="s">
        <v>4921</v>
      </c>
      <c r="C596" s="479"/>
      <c r="D596" s="480"/>
      <c r="E596" s="469"/>
      <c r="F596" s="469"/>
      <c r="G596" s="474"/>
      <c r="H596" s="474"/>
      <c r="I596" s="469"/>
      <c r="K596" s="472" t="s">
        <v>4921</v>
      </c>
      <c r="L596" s="472"/>
      <c r="M596" s="472"/>
      <c r="N596" s="472"/>
      <c r="O596" s="472"/>
      <c r="P596" s="472"/>
      <c r="Q596" s="472"/>
      <c r="R596" s="472"/>
      <c r="S596" s="472"/>
      <c r="T596" s="472"/>
      <c r="U596" s="472"/>
      <c r="V596" s="472"/>
      <c r="W596" s="472"/>
      <c r="X596" s="472"/>
      <c r="Y596" s="472"/>
      <c r="Z596" s="472"/>
      <c r="AA596" s="472"/>
      <c r="AB596" s="472"/>
      <c r="AC596" s="369"/>
    </row>
    <row r="597" spans="1:30" s="499" customFormat="1">
      <c r="A597" s="492"/>
      <c r="B597" s="493" t="s">
        <v>4924</v>
      </c>
      <c r="C597" s="494"/>
      <c r="D597" s="495"/>
      <c r="E597" s="496"/>
      <c r="F597" s="496"/>
      <c r="G597" s="497"/>
      <c r="H597" s="497"/>
      <c r="I597" s="496"/>
      <c r="J597" s="496"/>
      <c r="K597" s="496"/>
      <c r="L597" s="665" t="s">
        <v>4926</v>
      </c>
      <c r="M597" s="665"/>
      <c r="N597" s="665"/>
      <c r="O597" s="665"/>
      <c r="P597" s="665"/>
      <c r="Q597" s="665"/>
      <c r="R597" s="665"/>
      <c r="S597" s="665"/>
      <c r="T597" s="665"/>
      <c r="U597" s="665"/>
      <c r="V597" s="665"/>
      <c r="W597" s="665"/>
      <c r="X597" s="496"/>
      <c r="Y597" s="496"/>
      <c r="Z597" s="496"/>
      <c r="AA597" s="496"/>
      <c r="AB597" s="496"/>
      <c r="AC597" s="498"/>
    </row>
    <row r="598" spans="1:30" s="33" customFormat="1">
      <c r="A598" s="469"/>
      <c r="B598" s="48"/>
      <c r="C598" s="48"/>
      <c r="D598" s="486"/>
      <c r="E598" s="471"/>
      <c r="F598" s="471"/>
      <c r="G598" s="474"/>
      <c r="H598" s="474"/>
      <c r="I598" s="471"/>
      <c r="J598" s="471"/>
      <c r="K598" s="471"/>
      <c r="L598" s="471"/>
      <c r="M598" s="471"/>
      <c r="N598" s="471"/>
      <c r="O598" s="471"/>
      <c r="P598" s="471"/>
      <c r="Q598" s="471"/>
      <c r="R598" s="471"/>
      <c r="S598" s="471"/>
      <c r="T598" s="471"/>
      <c r="U598" s="471"/>
      <c r="V598" s="471"/>
      <c r="W598" s="471"/>
      <c r="X598" s="471"/>
      <c r="Y598" s="471"/>
      <c r="Z598" s="471"/>
      <c r="AA598" s="471"/>
      <c r="AB598" s="471"/>
      <c r="AC598" s="487"/>
    </row>
    <row r="599" spans="1:30" s="33" customFormat="1">
      <c r="A599" s="469"/>
      <c r="B599" s="48"/>
      <c r="C599" s="48"/>
      <c r="D599" s="486"/>
      <c r="E599" s="471"/>
      <c r="F599" s="471"/>
      <c r="G599" s="474"/>
      <c r="H599" s="474"/>
      <c r="I599" s="471"/>
      <c r="J599" s="471"/>
      <c r="K599" s="471"/>
      <c r="L599" s="471"/>
      <c r="M599" s="471"/>
      <c r="N599" s="471"/>
      <c r="O599" s="471"/>
      <c r="P599" s="471"/>
      <c r="Q599" s="471"/>
      <c r="R599" s="471"/>
      <c r="S599" s="471"/>
      <c r="T599" s="471"/>
      <c r="U599" s="471"/>
      <c r="V599" s="471"/>
      <c r="W599" s="471"/>
      <c r="X599" s="471"/>
      <c r="Y599" s="471"/>
      <c r="Z599" s="471"/>
      <c r="AA599" s="471"/>
      <c r="AB599" s="471"/>
      <c r="AC599" s="487"/>
    </row>
    <row r="600" spans="1:30" s="33" customFormat="1">
      <c r="A600" s="488"/>
      <c r="B600" s="363"/>
      <c r="C600" s="51"/>
      <c r="D600" s="484"/>
      <c r="E600" s="472"/>
      <c r="F600" s="472"/>
      <c r="G600" s="474"/>
      <c r="H600" s="474"/>
      <c r="I600" s="472"/>
      <c r="K600" s="472"/>
      <c r="L600" s="472"/>
      <c r="O600" s="472" t="s">
        <v>1161</v>
      </c>
      <c r="Q600" s="472"/>
      <c r="R600" s="472"/>
      <c r="S600" s="472"/>
      <c r="T600" s="472"/>
      <c r="U600" s="472"/>
      <c r="V600" s="472"/>
      <c r="W600" s="472"/>
      <c r="X600" s="472"/>
      <c r="Y600" s="472"/>
      <c r="Z600" s="472"/>
      <c r="AA600" s="472"/>
      <c r="AB600" s="472"/>
      <c r="AC600" s="369"/>
    </row>
    <row r="601" spans="1:30" s="33" customFormat="1">
      <c r="A601" s="488"/>
      <c r="B601" s="48"/>
      <c r="C601" s="48"/>
      <c r="D601" s="486"/>
      <c r="E601" s="471"/>
      <c r="F601" s="471"/>
      <c r="G601" s="474"/>
      <c r="H601" s="474"/>
      <c r="I601" s="471"/>
      <c r="J601" s="471"/>
      <c r="K601" s="471"/>
      <c r="L601" s="471"/>
      <c r="M601" s="471"/>
      <c r="N601" s="471"/>
      <c r="O601" s="471"/>
      <c r="P601" s="471"/>
      <c r="Q601" s="471"/>
      <c r="R601" s="471"/>
      <c r="S601" s="471"/>
      <c r="T601" s="471"/>
      <c r="U601" s="471"/>
      <c r="V601" s="471"/>
      <c r="W601" s="471"/>
      <c r="X601" s="471"/>
      <c r="Y601" s="471"/>
      <c r="Z601" s="471"/>
      <c r="AA601" s="471"/>
      <c r="AB601" s="471"/>
      <c r="AC601" s="487"/>
    </row>
    <row r="602" spans="1:30">
      <c r="A602" s="488"/>
      <c r="C602" s="50"/>
      <c r="D602" s="484"/>
      <c r="E602" s="473"/>
      <c r="F602" s="473"/>
      <c r="I602" s="473"/>
      <c r="J602" s="472"/>
      <c r="K602" s="472" t="s">
        <v>4921</v>
      </c>
      <c r="L602" s="472"/>
      <c r="M602" s="472"/>
      <c r="N602" s="472"/>
      <c r="O602" s="472"/>
      <c r="P602" s="472"/>
      <c r="Q602" s="472"/>
      <c r="R602" s="472"/>
      <c r="S602" s="472"/>
      <c r="T602" s="472"/>
      <c r="U602" s="472"/>
      <c r="V602" s="472"/>
      <c r="W602" s="472"/>
      <c r="X602" s="472"/>
      <c r="Y602" s="472"/>
      <c r="Z602" s="472"/>
      <c r="AA602" s="472"/>
      <c r="AB602" s="472"/>
      <c r="AD602" s="365"/>
    </row>
    <row r="603" spans="1:30" s="500" customFormat="1">
      <c r="B603" s="501"/>
      <c r="C603" s="501"/>
      <c r="D603" s="502"/>
      <c r="E603" s="497"/>
      <c r="F603" s="497"/>
      <c r="G603" s="497"/>
      <c r="H603" s="497"/>
      <c r="I603" s="497"/>
      <c r="J603" s="503"/>
      <c r="K603" s="503"/>
      <c r="L603" s="665" t="s">
        <v>4925</v>
      </c>
      <c r="M603" s="665"/>
      <c r="N603" s="665"/>
      <c r="O603" s="665"/>
      <c r="P603" s="665"/>
      <c r="Q603" s="665"/>
      <c r="R603" s="665"/>
      <c r="S603" s="665"/>
      <c r="T603" s="665"/>
      <c r="U603" s="665"/>
      <c r="V603" s="665"/>
      <c r="W603" s="665"/>
      <c r="X603" s="504"/>
      <c r="Y603" s="504"/>
      <c r="Z603" s="504"/>
      <c r="AA603" s="504"/>
      <c r="AC603" s="505"/>
      <c r="AD603" s="506"/>
    </row>
    <row r="604" spans="1:30">
      <c r="W604" s="489"/>
      <c r="X604" s="489"/>
      <c r="Y604" s="489"/>
      <c r="Z604" s="489"/>
      <c r="AA604" s="489"/>
    </row>
    <row r="605" spans="1:30">
      <c r="W605" s="489"/>
      <c r="X605" s="489"/>
      <c r="Y605" s="489"/>
      <c r="Z605" s="489"/>
      <c r="AA605" s="489"/>
    </row>
    <row r="606" spans="1:30">
      <c r="W606" s="489"/>
      <c r="X606" s="489"/>
      <c r="Y606" s="489"/>
      <c r="Z606" s="489"/>
      <c r="AA606" s="489"/>
    </row>
    <row r="607" spans="1:30">
      <c r="W607" s="489"/>
      <c r="X607" s="489"/>
      <c r="Y607" s="489"/>
      <c r="Z607" s="489"/>
      <c r="AA607" s="489"/>
    </row>
    <row r="608" spans="1:30">
      <c r="W608" s="489"/>
      <c r="X608" s="489"/>
      <c r="Y608" s="489"/>
      <c r="Z608" s="489"/>
      <c r="AA608" s="489"/>
    </row>
    <row r="609" spans="23:27">
      <c r="W609" s="489"/>
      <c r="X609" s="489"/>
      <c r="Y609" s="489"/>
      <c r="Z609" s="489"/>
      <c r="AA609" s="489"/>
    </row>
    <row r="610" spans="23:27">
      <c r="W610" s="489"/>
      <c r="X610" s="489"/>
      <c r="Y610" s="489"/>
      <c r="Z610" s="489"/>
      <c r="AA610" s="489"/>
    </row>
    <row r="611" spans="23:27">
      <c r="W611" s="489"/>
      <c r="X611" s="489"/>
      <c r="Y611" s="489"/>
      <c r="Z611" s="489"/>
      <c r="AA611" s="489"/>
    </row>
    <row r="612" spans="23:27">
      <c r="W612" s="489"/>
      <c r="X612" s="489"/>
      <c r="Y612" s="489"/>
      <c r="Z612" s="489"/>
      <c r="AA612" s="489"/>
    </row>
    <row r="613" spans="23:27">
      <c r="W613" s="489"/>
      <c r="X613" s="489"/>
      <c r="Y613" s="489"/>
      <c r="Z613" s="489"/>
      <c r="AA613" s="489"/>
    </row>
    <row r="614" spans="23:27">
      <c r="W614" s="489"/>
      <c r="X614" s="489"/>
      <c r="Y614" s="489"/>
      <c r="Z614" s="489"/>
      <c r="AA614" s="489"/>
    </row>
    <row r="615" spans="23:27">
      <c r="W615" s="489"/>
      <c r="X615" s="489"/>
      <c r="Y615" s="489"/>
      <c r="Z615" s="489"/>
      <c r="AA615" s="489"/>
    </row>
    <row r="616" spans="23:27">
      <c r="W616" s="489"/>
      <c r="X616" s="489"/>
      <c r="Y616" s="489"/>
      <c r="Z616" s="489"/>
      <c r="AA616" s="489"/>
    </row>
    <row r="617" spans="23:27">
      <c r="W617" s="489"/>
      <c r="X617" s="489"/>
      <c r="Y617" s="489"/>
      <c r="Z617" s="489"/>
      <c r="AA617" s="489"/>
    </row>
    <row r="618" spans="23:27">
      <c r="W618" s="489"/>
      <c r="X618" s="489"/>
      <c r="Y618" s="489"/>
      <c r="Z618" s="489"/>
      <c r="AA618" s="489"/>
    </row>
    <row r="619" spans="23:27">
      <c r="W619" s="489"/>
      <c r="X619" s="489"/>
      <c r="Y619" s="489"/>
      <c r="Z619" s="489"/>
      <c r="AA619" s="489"/>
    </row>
    <row r="620" spans="23:27">
      <c r="W620" s="489"/>
      <c r="X620" s="489"/>
      <c r="Y620" s="489"/>
      <c r="Z620" s="489"/>
      <c r="AA620" s="489"/>
    </row>
    <row r="621" spans="23:27">
      <c r="W621" s="489"/>
      <c r="X621" s="489"/>
      <c r="Y621" s="489"/>
      <c r="Z621" s="489"/>
      <c r="AA621" s="489"/>
    </row>
    <row r="622" spans="23:27">
      <c r="W622" s="489"/>
      <c r="X622" s="489"/>
      <c r="Y622" s="489"/>
      <c r="Z622" s="489"/>
      <c r="AA622" s="489"/>
    </row>
    <row r="623" spans="23:27">
      <c r="W623" s="489"/>
      <c r="X623" s="489"/>
      <c r="Y623" s="489"/>
      <c r="Z623" s="489"/>
      <c r="AA623" s="489"/>
    </row>
    <row r="624" spans="23:27">
      <c r="W624" s="489"/>
      <c r="X624" s="489"/>
      <c r="Y624" s="489"/>
      <c r="Z624" s="489"/>
      <c r="AA624" s="489"/>
    </row>
    <row r="625" spans="23:27">
      <c r="W625" s="489"/>
      <c r="X625" s="489"/>
      <c r="Y625" s="489"/>
      <c r="Z625" s="489"/>
      <c r="AA625" s="489"/>
    </row>
    <row r="626" spans="23:27">
      <c r="W626" s="489"/>
      <c r="X626" s="489"/>
      <c r="Y626" s="489"/>
      <c r="Z626" s="489"/>
      <c r="AA626" s="489"/>
    </row>
    <row r="627" spans="23:27">
      <c r="W627" s="489"/>
      <c r="X627" s="489"/>
      <c r="Y627" s="489"/>
      <c r="Z627" s="489"/>
      <c r="AA627" s="489"/>
    </row>
    <row r="628" spans="23:27">
      <c r="W628" s="489"/>
      <c r="X628" s="489"/>
      <c r="Y628" s="489"/>
      <c r="Z628" s="489"/>
      <c r="AA628" s="489"/>
    </row>
    <row r="629" spans="23:27">
      <c r="W629" s="489"/>
      <c r="X629" s="489"/>
      <c r="Y629" s="489"/>
      <c r="Z629" s="489"/>
      <c r="AA629" s="489"/>
    </row>
    <row r="630" spans="23:27">
      <c r="W630" s="489"/>
      <c r="X630" s="489"/>
      <c r="Y630" s="489"/>
      <c r="Z630" s="489"/>
      <c r="AA630" s="489"/>
    </row>
    <row r="631" spans="23:27">
      <c r="W631" s="489"/>
      <c r="X631" s="489"/>
      <c r="Y631" s="489"/>
      <c r="Z631" s="489"/>
      <c r="AA631" s="489"/>
    </row>
    <row r="632" spans="23:27">
      <c r="W632" s="489"/>
      <c r="X632" s="489"/>
      <c r="Y632" s="489"/>
      <c r="Z632" s="489"/>
      <c r="AA632" s="489"/>
    </row>
    <row r="633" spans="23:27">
      <c r="W633" s="489"/>
      <c r="X633" s="489"/>
      <c r="Y633" s="489"/>
      <c r="Z633" s="489"/>
      <c r="AA633" s="489"/>
    </row>
    <row r="634" spans="23:27">
      <c r="W634" s="489"/>
      <c r="X634" s="489"/>
      <c r="Y634" s="489"/>
      <c r="Z634" s="489"/>
      <c r="AA634" s="489"/>
    </row>
    <row r="635" spans="23:27">
      <c r="W635" s="489"/>
      <c r="X635" s="489"/>
      <c r="Y635" s="489"/>
      <c r="Z635" s="489"/>
      <c r="AA635" s="489"/>
    </row>
    <row r="636" spans="23:27">
      <c r="W636" s="489"/>
      <c r="X636" s="489"/>
      <c r="Y636" s="489"/>
      <c r="Z636" s="489"/>
      <c r="AA636" s="489"/>
    </row>
    <row r="637" spans="23:27">
      <c r="W637" s="489"/>
      <c r="X637" s="489"/>
      <c r="Y637" s="489"/>
      <c r="Z637" s="489"/>
      <c r="AA637" s="489"/>
    </row>
    <row r="638" spans="23:27">
      <c r="W638" s="489"/>
      <c r="X638" s="489"/>
      <c r="Y638" s="489"/>
      <c r="Z638" s="489"/>
      <c r="AA638" s="489"/>
    </row>
    <row r="639" spans="23:27">
      <c r="W639" s="489"/>
      <c r="X639" s="489"/>
      <c r="Y639" s="489"/>
      <c r="Z639" s="489"/>
      <c r="AA639" s="489"/>
    </row>
    <row r="640" spans="23:27">
      <c r="W640" s="489"/>
      <c r="X640" s="489"/>
      <c r="Y640" s="489"/>
      <c r="Z640" s="489"/>
      <c r="AA640" s="489"/>
    </row>
    <row r="641" spans="23:27">
      <c r="W641" s="489"/>
      <c r="X641" s="489"/>
      <c r="Y641" s="489"/>
      <c r="Z641" s="489"/>
      <c r="AA641" s="489"/>
    </row>
    <row r="642" spans="23:27">
      <c r="W642" s="489"/>
      <c r="X642" s="489"/>
      <c r="Y642" s="489"/>
      <c r="Z642" s="489"/>
      <c r="AA642" s="489"/>
    </row>
    <row r="643" spans="23:27">
      <c r="W643" s="489"/>
      <c r="X643" s="489"/>
      <c r="Y643" s="489"/>
      <c r="Z643" s="489"/>
      <c r="AA643" s="489"/>
    </row>
    <row r="644" spans="23:27">
      <c r="W644" s="489"/>
      <c r="X644" s="489"/>
      <c r="Y644" s="489"/>
      <c r="Z644" s="489"/>
      <c r="AA644" s="489"/>
    </row>
    <row r="645" spans="23:27">
      <c r="W645" s="489"/>
      <c r="X645" s="489"/>
      <c r="Y645" s="489"/>
      <c r="Z645" s="489"/>
      <c r="AA645" s="489"/>
    </row>
    <row r="646" spans="23:27">
      <c r="W646" s="489"/>
      <c r="X646" s="489"/>
      <c r="Y646" s="489"/>
      <c r="Z646" s="489"/>
      <c r="AA646" s="489"/>
    </row>
    <row r="647" spans="23:27">
      <c r="W647" s="489"/>
      <c r="X647" s="489"/>
      <c r="Y647" s="489"/>
      <c r="Z647" s="489"/>
      <c r="AA647" s="489"/>
    </row>
    <row r="648" spans="23:27">
      <c r="W648" s="489"/>
      <c r="X648" s="489"/>
      <c r="Y648" s="489"/>
      <c r="Z648" s="489"/>
      <c r="AA648" s="489"/>
    </row>
    <row r="649" spans="23:27">
      <c r="W649" s="489"/>
      <c r="X649" s="489"/>
      <c r="Y649" s="489"/>
      <c r="Z649" s="489"/>
      <c r="AA649" s="489"/>
    </row>
    <row r="650" spans="23:27">
      <c r="W650" s="489"/>
      <c r="X650" s="489"/>
      <c r="Y650" s="489"/>
      <c r="Z650" s="489"/>
      <c r="AA650" s="489"/>
    </row>
    <row r="651" spans="23:27">
      <c r="W651" s="489"/>
      <c r="X651" s="489"/>
      <c r="Y651" s="489"/>
      <c r="Z651" s="489"/>
      <c r="AA651" s="489"/>
    </row>
    <row r="652" spans="23:27">
      <c r="W652" s="489"/>
      <c r="X652" s="489"/>
      <c r="Y652" s="489"/>
      <c r="Z652" s="489"/>
      <c r="AA652" s="489"/>
    </row>
    <row r="653" spans="23:27">
      <c r="W653" s="489"/>
      <c r="X653" s="489"/>
      <c r="Y653" s="489"/>
      <c r="Z653" s="489"/>
      <c r="AA653" s="489"/>
    </row>
    <row r="654" spans="23:27">
      <c r="W654" s="489"/>
      <c r="X654" s="489"/>
      <c r="Y654" s="489"/>
      <c r="Z654" s="489"/>
      <c r="AA654" s="489"/>
    </row>
    <row r="655" spans="23:27">
      <c r="W655" s="489"/>
      <c r="X655" s="489"/>
      <c r="Y655" s="489"/>
      <c r="Z655" s="489"/>
      <c r="AA655" s="489"/>
    </row>
    <row r="656" spans="23:27">
      <c r="W656" s="489"/>
      <c r="X656" s="489"/>
      <c r="Y656" s="489"/>
      <c r="Z656" s="489"/>
      <c r="AA656" s="489"/>
    </row>
  </sheetData>
  <mergeCells count="4">
    <mergeCell ref="A18:AB18"/>
    <mergeCell ref="F80:F84"/>
    <mergeCell ref="L603:W603"/>
    <mergeCell ref="L597:W597"/>
  </mergeCells>
  <pageMargins left="0" right="0" top="0" bottom="0.31496062992125984" header="0" footer="0.15748031496062992"/>
  <pageSetup paperSize="9" scale="50" fitToHeight="0" orientation="portrait" r:id="rId1"/>
  <headerFooter alignWithMargins="0">
    <oddFooter>&amp;R&amp;P / &amp;N</oddFooter>
  </headerFooter>
  <colBreaks count="1" manualBreakCount="1">
    <brk id="28" max="60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34C1-6046-4310-818F-73087C66D29B}">
  <dimension ref="A1:AD656"/>
  <sheetViews>
    <sheetView showGridLines="0" view="pageBreakPreview" topLeftCell="A432" zoomScale="80" zoomScaleNormal="90" zoomScaleSheetLayoutView="80" workbookViewId="0">
      <selection activeCell="D589" sqref="A25:D589"/>
    </sheetView>
  </sheetViews>
  <sheetFormatPr defaultColWidth="10.28515625" defaultRowHeight="18"/>
  <cols>
    <col min="1" max="1" width="9.5703125" style="365" customWidth="1"/>
    <col min="2" max="2" width="10.5703125" style="363" customWidth="1"/>
    <col min="3" max="3" width="53" style="363" customWidth="1"/>
    <col min="4" max="4" width="23.7109375" style="381" customWidth="1"/>
    <col min="5" max="5" width="3.42578125" style="474" customWidth="1"/>
    <col min="6" max="6" width="3.28515625" style="474" customWidth="1"/>
    <col min="7" max="8" width="3.28515625" style="474" bestFit="1" customWidth="1"/>
    <col min="9" max="9" width="3.28515625" style="474" customWidth="1"/>
    <col min="10" max="10" width="12.42578125" style="474" customWidth="1"/>
    <col min="11" max="11" width="1.7109375" style="474" customWidth="1"/>
    <col min="12" max="12" width="3.140625" style="474" customWidth="1"/>
    <col min="13" max="21" width="3.28515625" style="474" customWidth="1"/>
    <col min="22" max="22" width="1.7109375" style="474" customWidth="1"/>
    <col min="23" max="23" width="3.42578125" style="365" customWidth="1"/>
    <col min="24" max="24" width="3.28515625" style="365" customWidth="1"/>
    <col min="25" max="25" width="5.28515625" style="365" customWidth="1"/>
    <col min="26" max="28" width="3.28515625" style="365" customWidth="1"/>
    <col min="29" max="29" width="12.5703125" style="369" customWidth="1"/>
    <col min="30" max="30" width="13" style="488" customWidth="1"/>
    <col min="31" max="230" width="10.28515625" style="365"/>
    <col min="231" max="239" width="9.140625" style="365" customWidth="1"/>
    <col min="240" max="240" width="1" style="365" customWidth="1"/>
    <col min="241" max="244" width="3.28515625" style="365" customWidth="1"/>
    <col min="245" max="245" width="1.85546875" style="365" customWidth="1"/>
    <col min="246" max="246" width="17.85546875" style="365" customWidth="1"/>
    <col min="247" max="247" width="1.85546875" style="365" customWidth="1"/>
    <col min="248" max="251" width="3.28515625" style="365" customWidth="1"/>
    <col min="252" max="252" width="1.85546875" style="365" customWidth="1"/>
    <col min="253" max="253" width="12.42578125" style="365" customWidth="1"/>
    <col min="254" max="254" width="1.85546875" style="365" customWidth="1"/>
    <col min="255" max="257" width="3" style="365" customWidth="1"/>
    <col min="258" max="258" width="4.42578125" style="365" customWidth="1"/>
    <col min="259" max="260" width="3" style="365" customWidth="1"/>
    <col min="261" max="266" width="3.28515625" style="365" customWidth="1"/>
    <col min="267" max="268" width="9.140625" style="365" customWidth="1"/>
    <col min="269" max="272" width="3.28515625" style="365" customWidth="1"/>
    <col min="273" max="273" width="4.140625" style="365" customWidth="1"/>
    <col min="274" max="486" width="10.28515625" style="365"/>
    <col min="487" max="495" width="9.140625" style="365" customWidth="1"/>
    <col min="496" max="496" width="1" style="365" customWidth="1"/>
    <col min="497" max="500" width="3.28515625" style="365" customWidth="1"/>
    <col min="501" max="501" width="1.85546875" style="365" customWidth="1"/>
    <col min="502" max="502" width="17.85546875" style="365" customWidth="1"/>
    <col min="503" max="503" width="1.85546875" style="365" customWidth="1"/>
    <col min="504" max="507" width="3.28515625" style="365" customWidth="1"/>
    <col min="508" max="508" width="1.85546875" style="365" customWidth="1"/>
    <col min="509" max="509" width="12.42578125" style="365" customWidth="1"/>
    <col min="510" max="510" width="1.85546875" style="365" customWidth="1"/>
    <col min="511" max="513" width="3" style="365" customWidth="1"/>
    <col min="514" max="514" width="4.42578125" style="365" customWidth="1"/>
    <col min="515" max="516" width="3" style="365" customWidth="1"/>
    <col min="517" max="522" width="3.28515625" style="365" customWidth="1"/>
    <col min="523" max="524" width="9.140625" style="365" customWidth="1"/>
    <col min="525" max="528" width="3.28515625" style="365" customWidth="1"/>
    <col min="529" max="529" width="4.140625" style="365" customWidth="1"/>
    <col min="530" max="742" width="10.28515625" style="365"/>
    <col min="743" max="751" width="9.140625" style="365" customWidth="1"/>
    <col min="752" max="752" width="1" style="365" customWidth="1"/>
    <col min="753" max="756" width="3.28515625" style="365" customWidth="1"/>
    <col min="757" max="757" width="1.85546875" style="365" customWidth="1"/>
    <col min="758" max="758" width="17.85546875" style="365" customWidth="1"/>
    <col min="759" max="759" width="1.85546875" style="365" customWidth="1"/>
    <col min="760" max="763" width="3.28515625" style="365" customWidth="1"/>
    <col min="764" max="764" width="1.85546875" style="365" customWidth="1"/>
    <col min="765" max="765" width="12.42578125" style="365" customWidth="1"/>
    <col min="766" max="766" width="1.85546875" style="365" customWidth="1"/>
    <col min="767" max="769" width="3" style="365" customWidth="1"/>
    <col min="770" max="770" width="4.42578125" style="365" customWidth="1"/>
    <col min="771" max="772" width="3" style="365" customWidth="1"/>
    <col min="773" max="778" width="3.28515625" style="365" customWidth="1"/>
    <col min="779" max="780" width="9.140625" style="365" customWidth="1"/>
    <col min="781" max="784" width="3.28515625" style="365" customWidth="1"/>
    <col min="785" max="785" width="4.140625" style="365" customWidth="1"/>
    <col min="786" max="998" width="10.28515625" style="365"/>
    <col min="999" max="1007" width="9.140625" style="365" customWidth="1"/>
    <col min="1008" max="1008" width="1" style="365" customWidth="1"/>
    <col min="1009" max="1012" width="3.28515625" style="365" customWidth="1"/>
    <col min="1013" max="1013" width="1.85546875" style="365" customWidth="1"/>
    <col min="1014" max="1014" width="17.85546875" style="365" customWidth="1"/>
    <col min="1015" max="1015" width="1.85546875" style="365" customWidth="1"/>
    <col min="1016" max="1019" width="3.28515625" style="365" customWidth="1"/>
    <col min="1020" max="1020" width="1.85546875" style="365" customWidth="1"/>
    <col min="1021" max="1021" width="12.42578125" style="365" customWidth="1"/>
    <col min="1022" max="1022" width="1.85546875" style="365" customWidth="1"/>
    <col min="1023" max="1025" width="3" style="365" customWidth="1"/>
    <col min="1026" max="1026" width="4.42578125" style="365" customWidth="1"/>
    <col min="1027" max="1028" width="3" style="365" customWidth="1"/>
    <col min="1029" max="1034" width="3.28515625" style="365" customWidth="1"/>
    <col min="1035" max="1036" width="9.140625" style="365" customWidth="1"/>
    <col min="1037" max="1040" width="3.28515625" style="365" customWidth="1"/>
    <col min="1041" max="1041" width="4.140625" style="365" customWidth="1"/>
    <col min="1042" max="1254" width="10.28515625" style="365"/>
    <col min="1255" max="1263" width="9.140625" style="365" customWidth="1"/>
    <col min="1264" max="1264" width="1" style="365" customWidth="1"/>
    <col min="1265" max="1268" width="3.28515625" style="365" customWidth="1"/>
    <col min="1269" max="1269" width="1.85546875" style="365" customWidth="1"/>
    <col min="1270" max="1270" width="17.85546875" style="365" customWidth="1"/>
    <col min="1271" max="1271" width="1.85546875" style="365" customWidth="1"/>
    <col min="1272" max="1275" width="3.28515625" style="365" customWidth="1"/>
    <col min="1276" max="1276" width="1.85546875" style="365" customWidth="1"/>
    <col min="1277" max="1277" width="12.42578125" style="365" customWidth="1"/>
    <col min="1278" max="1278" width="1.85546875" style="365" customWidth="1"/>
    <col min="1279" max="1281" width="3" style="365" customWidth="1"/>
    <col min="1282" max="1282" width="4.42578125" style="365" customWidth="1"/>
    <col min="1283" max="1284" width="3" style="365" customWidth="1"/>
    <col min="1285" max="1290" width="3.28515625" style="365" customWidth="1"/>
    <col min="1291" max="1292" width="9.140625" style="365" customWidth="1"/>
    <col min="1293" max="1296" width="3.28515625" style="365" customWidth="1"/>
    <col min="1297" max="1297" width="4.140625" style="365" customWidth="1"/>
    <col min="1298" max="1510" width="10.28515625" style="365"/>
    <col min="1511" max="1519" width="9.140625" style="365" customWidth="1"/>
    <col min="1520" max="1520" width="1" style="365" customWidth="1"/>
    <col min="1521" max="1524" width="3.28515625" style="365" customWidth="1"/>
    <col min="1525" max="1525" width="1.85546875" style="365" customWidth="1"/>
    <col min="1526" max="1526" width="17.85546875" style="365" customWidth="1"/>
    <col min="1527" max="1527" width="1.85546875" style="365" customWidth="1"/>
    <col min="1528" max="1531" width="3.28515625" style="365" customWidth="1"/>
    <col min="1532" max="1532" width="1.85546875" style="365" customWidth="1"/>
    <col min="1533" max="1533" width="12.42578125" style="365" customWidth="1"/>
    <col min="1534" max="1534" width="1.85546875" style="365" customWidth="1"/>
    <col min="1535" max="1537" width="3" style="365" customWidth="1"/>
    <col min="1538" max="1538" width="4.42578125" style="365" customWidth="1"/>
    <col min="1539" max="1540" width="3" style="365" customWidth="1"/>
    <col min="1541" max="1546" width="3.28515625" style="365" customWidth="1"/>
    <col min="1547" max="1548" width="9.140625" style="365" customWidth="1"/>
    <col min="1549" max="1552" width="3.28515625" style="365" customWidth="1"/>
    <col min="1553" max="1553" width="4.140625" style="365" customWidth="1"/>
    <col min="1554" max="1766" width="10.28515625" style="365"/>
    <col min="1767" max="1775" width="9.140625" style="365" customWidth="1"/>
    <col min="1776" max="1776" width="1" style="365" customWidth="1"/>
    <col min="1777" max="1780" width="3.28515625" style="365" customWidth="1"/>
    <col min="1781" max="1781" width="1.85546875" style="365" customWidth="1"/>
    <col min="1782" max="1782" width="17.85546875" style="365" customWidth="1"/>
    <col min="1783" max="1783" width="1.85546875" style="365" customWidth="1"/>
    <col min="1784" max="1787" width="3.28515625" style="365" customWidth="1"/>
    <col min="1788" max="1788" width="1.85546875" style="365" customWidth="1"/>
    <col min="1789" max="1789" width="12.42578125" style="365" customWidth="1"/>
    <col min="1790" max="1790" width="1.85546875" style="365" customWidth="1"/>
    <col min="1791" max="1793" width="3" style="365" customWidth="1"/>
    <col min="1794" max="1794" width="4.42578125" style="365" customWidth="1"/>
    <col min="1795" max="1796" width="3" style="365" customWidth="1"/>
    <col min="1797" max="1802" width="3.28515625" style="365" customWidth="1"/>
    <col min="1803" max="1804" width="9.140625" style="365" customWidth="1"/>
    <col min="1805" max="1808" width="3.28515625" style="365" customWidth="1"/>
    <col min="1809" max="1809" width="4.140625" style="365" customWidth="1"/>
    <col min="1810" max="2022" width="10.28515625" style="365"/>
    <col min="2023" max="2031" width="9.140625" style="365" customWidth="1"/>
    <col min="2032" max="2032" width="1" style="365" customWidth="1"/>
    <col min="2033" max="2036" width="3.28515625" style="365" customWidth="1"/>
    <col min="2037" max="2037" width="1.85546875" style="365" customWidth="1"/>
    <col min="2038" max="2038" width="17.85546875" style="365" customWidth="1"/>
    <col min="2039" max="2039" width="1.85546875" style="365" customWidth="1"/>
    <col min="2040" max="2043" width="3.28515625" style="365" customWidth="1"/>
    <col min="2044" max="2044" width="1.85546875" style="365" customWidth="1"/>
    <col min="2045" max="2045" width="12.42578125" style="365" customWidth="1"/>
    <col min="2046" max="2046" width="1.85546875" style="365" customWidth="1"/>
    <col min="2047" max="2049" width="3" style="365" customWidth="1"/>
    <col min="2050" max="2050" width="4.42578125" style="365" customWidth="1"/>
    <col min="2051" max="2052" width="3" style="365" customWidth="1"/>
    <col min="2053" max="2058" width="3.28515625" style="365" customWidth="1"/>
    <col min="2059" max="2060" width="9.140625" style="365" customWidth="1"/>
    <col min="2061" max="2064" width="3.28515625" style="365" customWidth="1"/>
    <col min="2065" max="2065" width="4.140625" style="365" customWidth="1"/>
    <col min="2066" max="2278" width="10.28515625" style="365"/>
    <col min="2279" max="2287" width="9.140625" style="365" customWidth="1"/>
    <col min="2288" max="2288" width="1" style="365" customWidth="1"/>
    <col min="2289" max="2292" width="3.28515625" style="365" customWidth="1"/>
    <col min="2293" max="2293" width="1.85546875" style="365" customWidth="1"/>
    <col min="2294" max="2294" width="17.85546875" style="365" customWidth="1"/>
    <col min="2295" max="2295" width="1.85546875" style="365" customWidth="1"/>
    <col min="2296" max="2299" width="3.28515625" style="365" customWidth="1"/>
    <col min="2300" max="2300" width="1.85546875" style="365" customWidth="1"/>
    <col min="2301" max="2301" width="12.42578125" style="365" customWidth="1"/>
    <col min="2302" max="2302" width="1.85546875" style="365" customWidth="1"/>
    <col min="2303" max="2305" width="3" style="365" customWidth="1"/>
    <col min="2306" max="2306" width="4.42578125" style="365" customWidth="1"/>
    <col min="2307" max="2308" width="3" style="365" customWidth="1"/>
    <col min="2309" max="2314" width="3.28515625" style="365" customWidth="1"/>
    <col min="2315" max="2316" width="9.140625" style="365" customWidth="1"/>
    <col min="2317" max="2320" width="3.28515625" style="365" customWidth="1"/>
    <col min="2321" max="2321" width="4.140625" style="365" customWidth="1"/>
    <col min="2322" max="2534" width="10.28515625" style="365"/>
    <col min="2535" max="2543" width="9.140625" style="365" customWidth="1"/>
    <col min="2544" max="2544" width="1" style="365" customWidth="1"/>
    <col min="2545" max="2548" width="3.28515625" style="365" customWidth="1"/>
    <col min="2549" max="2549" width="1.85546875" style="365" customWidth="1"/>
    <col min="2550" max="2550" width="17.85546875" style="365" customWidth="1"/>
    <col min="2551" max="2551" width="1.85546875" style="365" customWidth="1"/>
    <col min="2552" max="2555" width="3.28515625" style="365" customWidth="1"/>
    <col min="2556" max="2556" width="1.85546875" style="365" customWidth="1"/>
    <col min="2557" max="2557" width="12.42578125" style="365" customWidth="1"/>
    <col min="2558" max="2558" width="1.85546875" style="365" customWidth="1"/>
    <col min="2559" max="2561" width="3" style="365" customWidth="1"/>
    <col min="2562" max="2562" width="4.42578125" style="365" customWidth="1"/>
    <col min="2563" max="2564" width="3" style="365" customWidth="1"/>
    <col min="2565" max="2570" width="3.28515625" style="365" customWidth="1"/>
    <col min="2571" max="2572" width="9.140625" style="365" customWidth="1"/>
    <col min="2573" max="2576" width="3.28515625" style="365" customWidth="1"/>
    <col min="2577" max="2577" width="4.140625" style="365" customWidth="1"/>
    <col min="2578" max="2790" width="10.28515625" style="365"/>
    <col min="2791" max="2799" width="9.140625" style="365" customWidth="1"/>
    <col min="2800" max="2800" width="1" style="365" customWidth="1"/>
    <col min="2801" max="2804" width="3.28515625" style="365" customWidth="1"/>
    <col min="2805" max="2805" width="1.85546875" style="365" customWidth="1"/>
    <col min="2806" max="2806" width="17.85546875" style="365" customWidth="1"/>
    <col min="2807" max="2807" width="1.85546875" style="365" customWidth="1"/>
    <col min="2808" max="2811" width="3.28515625" style="365" customWidth="1"/>
    <col min="2812" max="2812" width="1.85546875" style="365" customWidth="1"/>
    <col min="2813" max="2813" width="12.42578125" style="365" customWidth="1"/>
    <col min="2814" max="2814" width="1.85546875" style="365" customWidth="1"/>
    <col min="2815" max="2817" width="3" style="365" customWidth="1"/>
    <col min="2818" max="2818" width="4.42578125" style="365" customWidth="1"/>
    <col min="2819" max="2820" width="3" style="365" customWidth="1"/>
    <col min="2821" max="2826" width="3.28515625" style="365" customWidth="1"/>
    <col min="2827" max="2828" width="9.140625" style="365" customWidth="1"/>
    <col min="2829" max="2832" width="3.28515625" style="365" customWidth="1"/>
    <col min="2833" max="2833" width="4.140625" style="365" customWidth="1"/>
    <col min="2834" max="3046" width="10.28515625" style="365"/>
    <col min="3047" max="3055" width="9.140625" style="365" customWidth="1"/>
    <col min="3056" max="3056" width="1" style="365" customWidth="1"/>
    <col min="3057" max="3060" width="3.28515625" style="365" customWidth="1"/>
    <col min="3061" max="3061" width="1.85546875" style="365" customWidth="1"/>
    <col min="3062" max="3062" width="17.85546875" style="365" customWidth="1"/>
    <col min="3063" max="3063" width="1.85546875" style="365" customWidth="1"/>
    <col min="3064" max="3067" width="3.28515625" style="365" customWidth="1"/>
    <col min="3068" max="3068" width="1.85546875" style="365" customWidth="1"/>
    <col min="3069" max="3069" width="12.42578125" style="365" customWidth="1"/>
    <col min="3070" max="3070" width="1.85546875" style="365" customWidth="1"/>
    <col min="3071" max="3073" width="3" style="365" customWidth="1"/>
    <col min="3074" max="3074" width="4.42578125" style="365" customWidth="1"/>
    <col min="3075" max="3076" width="3" style="365" customWidth="1"/>
    <col min="3077" max="3082" width="3.28515625" style="365" customWidth="1"/>
    <col min="3083" max="3084" width="9.140625" style="365" customWidth="1"/>
    <col min="3085" max="3088" width="3.28515625" style="365" customWidth="1"/>
    <col min="3089" max="3089" width="4.140625" style="365" customWidth="1"/>
    <col min="3090" max="3302" width="10.28515625" style="365"/>
    <col min="3303" max="3311" width="9.140625" style="365" customWidth="1"/>
    <col min="3312" max="3312" width="1" style="365" customWidth="1"/>
    <col min="3313" max="3316" width="3.28515625" style="365" customWidth="1"/>
    <col min="3317" max="3317" width="1.85546875" style="365" customWidth="1"/>
    <col min="3318" max="3318" width="17.85546875" style="365" customWidth="1"/>
    <col min="3319" max="3319" width="1.85546875" style="365" customWidth="1"/>
    <col min="3320" max="3323" width="3.28515625" style="365" customWidth="1"/>
    <col min="3324" max="3324" width="1.85546875" style="365" customWidth="1"/>
    <col min="3325" max="3325" width="12.42578125" style="365" customWidth="1"/>
    <col min="3326" max="3326" width="1.85546875" style="365" customWidth="1"/>
    <col min="3327" max="3329" width="3" style="365" customWidth="1"/>
    <col min="3330" max="3330" width="4.42578125" style="365" customWidth="1"/>
    <col min="3331" max="3332" width="3" style="365" customWidth="1"/>
    <col min="3333" max="3338" width="3.28515625" style="365" customWidth="1"/>
    <col min="3339" max="3340" width="9.140625" style="365" customWidth="1"/>
    <col min="3341" max="3344" width="3.28515625" style="365" customWidth="1"/>
    <col min="3345" max="3345" width="4.140625" style="365" customWidth="1"/>
    <col min="3346" max="3558" width="10.28515625" style="365"/>
    <col min="3559" max="3567" width="9.140625" style="365" customWidth="1"/>
    <col min="3568" max="3568" width="1" style="365" customWidth="1"/>
    <col min="3569" max="3572" width="3.28515625" style="365" customWidth="1"/>
    <col min="3573" max="3573" width="1.85546875" style="365" customWidth="1"/>
    <col min="3574" max="3574" width="17.85546875" style="365" customWidth="1"/>
    <col min="3575" max="3575" width="1.85546875" style="365" customWidth="1"/>
    <col min="3576" max="3579" width="3.28515625" style="365" customWidth="1"/>
    <col min="3580" max="3580" width="1.85546875" style="365" customWidth="1"/>
    <col min="3581" max="3581" width="12.42578125" style="365" customWidth="1"/>
    <col min="3582" max="3582" width="1.85546875" style="365" customWidth="1"/>
    <col min="3583" max="3585" width="3" style="365" customWidth="1"/>
    <col min="3586" max="3586" width="4.42578125" style="365" customWidth="1"/>
    <col min="3587" max="3588" width="3" style="365" customWidth="1"/>
    <col min="3589" max="3594" width="3.28515625" style="365" customWidth="1"/>
    <col min="3595" max="3596" width="9.140625" style="365" customWidth="1"/>
    <col min="3597" max="3600" width="3.28515625" style="365" customWidth="1"/>
    <col min="3601" max="3601" width="4.140625" style="365" customWidth="1"/>
    <col min="3602" max="3814" width="10.28515625" style="365"/>
    <col min="3815" max="3823" width="9.140625" style="365" customWidth="1"/>
    <col min="3824" max="3824" width="1" style="365" customWidth="1"/>
    <col min="3825" max="3828" width="3.28515625" style="365" customWidth="1"/>
    <col min="3829" max="3829" width="1.85546875" style="365" customWidth="1"/>
    <col min="3830" max="3830" width="17.85546875" style="365" customWidth="1"/>
    <col min="3831" max="3831" width="1.85546875" style="365" customWidth="1"/>
    <col min="3832" max="3835" width="3.28515625" style="365" customWidth="1"/>
    <col min="3836" max="3836" width="1.85546875" style="365" customWidth="1"/>
    <col min="3837" max="3837" width="12.42578125" style="365" customWidth="1"/>
    <col min="3838" max="3838" width="1.85546875" style="365" customWidth="1"/>
    <col min="3839" max="3841" width="3" style="365" customWidth="1"/>
    <col min="3842" max="3842" width="4.42578125" style="365" customWidth="1"/>
    <col min="3843" max="3844" width="3" style="365" customWidth="1"/>
    <col min="3845" max="3850" width="3.28515625" style="365" customWidth="1"/>
    <col min="3851" max="3852" width="9.140625" style="365" customWidth="1"/>
    <col min="3853" max="3856" width="3.28515625" style="365" customWidth="1"/>
    <col min="3857" max="3857" width="4.140625" style="365" customWidth="1"/>
    <col min="3858" max="4070" width="10.28515625" style="365"/>
    <col min="4071" max="4079" width="9.140625" style="365" customWidth="1"/>
    <col min="4080" max="4080" width="1" style="365" customWidth="1"/>
    <col min="4081" max="4084" width="3.28515625" style="365" customWidth="1"/>
    <col min="4085" max="4085" width="1.85546875" style="365" customWidth="1"/>
    <col min="4086" max="4086" width="17.85546875" style="365" customWidth="1"/>
    <col min="4087" max="4087" width="1.85546875" style="365" customWidth="1"/>
    <col min="4088" max="4091" width="3.28515625" style="365" customWidth="1"/>
    <col min="4092" max="4092" width="1.85546875" style="365" customWidth="1"/>
    <col min="4093" max="4093" width="12.42578125" style="365" customWidth="1"/>
    <col min="4094" max="4094" width="1.85546875" style="365" customWidth="1"/>
    <col min="4095" max="4097" width="3" style="365" customWidth="1"/>
    <col min="4098" max="4098" width="4.42578125" style="365" customWidth="1"/>
    <col min="4099" max="4100" width="3" style="365" customWidth="1"/>
    <col min="4101" max="4106" width="3.28515625" style="365" customWidth="1"/>
    <col min="4107" max="4108" width="9.140625" style="365" customWidth="1"/>
    <col min="4109" max="4112" width="3.28515625" style="365" customWidth="1"/>
    <col min="4113" max="4113" width="4.140625" style="365" customWidth="1"/>
    <col min="4114" max="4326" width="10.28515625" style="365"/>
    <col min="4327" max="4335" width="9.140625" style="365" customWidth="1"/>
    <col min="4336" max="4336" width="1" style="365" customWidth="1"/>
    <col min="4337" max="4340" width="3.28515625" style="365" customWidth="1"/>
    <col min="4341" max="4341" width="1.85546875" style="365" customWidth="1"/>
    <col min="4342" max="4342" width="17.85546875" style="365" customWidth="1"/>
    <col min="4343" max="4343" width="1.85546875" style="365" customWidth="1"/>
    <col min="4344" max="4347" width="3.28515625" style="365" customWidth="1"/>
    <col min="4348" max="4348" width="1.85546875" style="365" customWidth="1"/>
    <col min="4349" max="4349" width="12.42578125" style="365" customWidth="1"/>
    <col min="4350" max="4350" width="1.85546875" style="365" customWidth="1"/>
    <col min="4351" max="4353" width="3" style="365" customWidth="1"/>
    <col min="4354" max="4354" width="4.42578125" style="365" customWidth="1"/>
    <col min="4355" max="4356" width="3" style="365" customWidth="1"/>
    <col min="4357" max="4362" width="3.28515625" style="365" customWidth="1"/>
    <col min="4363" max="4364" width="9.140625" style="365" customWidth="1"/>
    <col min="4365" max="4368" width="3.28515625" style="365" customWidth="1"/>
    <col min="4369" max="4369" width="4.140625" style="365" customWidth="1"/>
    <col min="4370" max="4582" width="10.28515625" style="365"/>
    <col min="4583" max="4591" width="9.140625" style="365" customWidth="1"/>
    <col min="4592" max="4592" width="1" style="365" customWidth="1"/>
    <col min="4593" max="4596" width="3.28515625" style="365" customWidth="1"/>
    <col min="4597" max="4597" width="1.85546875" style="365" customWidth="1"/>
    <col min="4598" max="4598" width="17.85546875" style="365" customWidth="1"/>
    <col min="4599" max="4599" width="1.85546875" style="365" customWidth="1"/>
    <col min="4600" max="4603" width="3.28515625" style="365" customWidth="1"/>
    <col min="4604" max="4604" width="1.85546875" style="365" customWidth="1"/>
    <col min="4605" max="4605" width="12.42578125" style="365" customWidth="1"/>
    <col min="4606" max="4606" width="1.85546875" style="365" customWidth="1"/>
    <col min="4607" max="4609" width="3" style="365" customWidth="1"/>
    <col min="4610" max="4610" width="4.42578125" style="365" customWidth="1"/>
    <col min="4611" max="4612" width="3" style="365" customWidth="1"/>
    <col min="4613" max="4618" width="3.28515625" style="365" customWidth="1"/>
    <col min="4619" max="4620" width="9.140625" style="365" customWidth="1"/>
    <col min="4621" max="4624" width="3.28515625" style="365" customWidth="1"/>
    <col min="4625" max="4625" width="4.140625" style="365" customWidth="1"/>
    <col min="4626" max="4838" width="10.28515625" style="365"/>
    <col min="4839" max="4847" width="9.140625" style="365" customWidth="1"/>
    <col min="4848" max="4848" width="1" style="365" customWidth="1"/>
    <col min="4849" max="4852" width="3.28515625" style="365" customWidth="1"/>
    <col min="4853" max="4853" width="1.85546875" style="365" customWidth="1"/>
    <col min="4854" max="4854" width="17.85546875" style="365" customWidth="1"/>
    <col min="4855" max="4855" width="1.85546875" style="365" customWidth="1"/>
    <col min="4856" max="4859" width="3.28515625" style="365" customWidth="1"/>
    <col min="4860" max="4860" width="1.85546875" style="365" customWidth="1"/>
    <col min="4861" max="4861" width="12.42578125" style="365" customWidth="1"/>
    <col min="4862" max="4862" width="1.85546875" style="365" customWidth="1"/>
    <col min="4863" max="4865" width="3" style="365" customWidth="1"/>
    <col min="4866" max="4866" width="4.42578125" style="365" customWidth="1"/>
    <col min="4867" max="4868" width="3" style="365" customWidth="1"/>
    <col min="4869" max="4874" width="3.28515625" style="365" customWidth="1"/>
    <col min="4875" max="4876" width="9.140625" style="365" customWidth="1"/>
    <col min="4877" max="4880" width="3.28515625" style="365" customWidth="1"/>
    <col min="4881" max="4881" width="4.140625" style="365" customWidth="1"/>
    <col min="4882" max="5094" width="10.28515625" style="365"/>
    <col min="5095" max="5103" width="9.140625" style="365" customWidth="1"/>
    <col min="5104" max="5104" width="1" style="365" customWidth="1"/>
    <col min="5105" max="5108" width="3.28515625" style="365" customWidth="1"/>
    <col min="5109" max="5109" width="1.85546875" style="365" customWidth="1"/>
    <col min="5110" max="5110" width="17.85546875" style="365" customWidth="1"/>
    <col min="5111" max="5111" width="1.85546875" style="365" customWidth="1"/>
    <col min="5112" max="5115" width="3.28515625" style="365" customWidth="1"/>
    <col min="5116" max="5116" width="1.85546875" style="365" customWidth="1"/>
    <col min="5117" max="5117" width="12.42578125" style="365" customWidth="1"/>
    <col min="5118" max="5118" width="1.85546875" style="365" customWidth="1"/>
    <col min="5119" max="5121" width="3" style="365" customWidth="1"/>
    <col min="5122" max="5122" width="4.42578125" style="365" customWidth="1"/>
    <col min="5123" max="5124" width="3" style="365" customWidth="1"/>
    <col min="5125" max="5130" width="3.28515625" style="365" customWidth="1"/>
    <col min="5131" max="5132" width="9.140625" style="365" customWidth="1"/>
    <col min="5133" max="5136" width="3.28515625" style="365" customWidth="1"/>
    <col min="5137" max="5137" width="4.140625" style="365" customWidth="1"/>
    <col min="5138" max="5350" width="10.28515625" style="365"/>
    <col min="5351" max="5359" width="9.140625" style="365" customWidth="1"/>
    <col min="5360" max="5360" width="1" style="365" customWidth="1"/>
    <col min="5361" max="5364" width="3.28515625" style="365" customWidth="1"/>
    <col min="5365" max="5365" width="1.85546875" style="365" customWidth="1"/>
    <col min="5366" max="5366" width="17.85546875" style="365" customWidth="1"/>
    <col min="5367" max="5367" width="1.85546875" style="365" customWidth="1"/>
    <col min="5368" max="5371" width="3.28515625" style="365" customWidth="1"/>
    <col min="5372" max="5372" width="1.85546875" style="365" customWidth="1"/>
    <col min="5373" max="5373" width="12.42578125" style="365" customWidth="1"/>
    <col min="5374" max="5374" width="1.85546875" style="365" customWidth="1"/>
    <col min="5375" max="5377" width="3" style="365" customWidth="1"/>
    <col min="5378" max="5378" width="4.42578125" style="365" customWidth="1"/>
    <col min="5379" max="5380" width="3" style="365" customWidth="1"/>
    <col min="5381" max="5386" width="3.28515625" style="365" customWidth="1"/>
    <col min="5387" max="5388" width="9.140625" style="365" customWidth="1"/>
    <col min="5389" max="5392" width="3.28515625" style="365" customWidth="1"/>
    <col min="5393" max="5393" width="4.140625" style="365" customWidth="1"/>
    <col min="5394" max="5606" width="10.28515625" style="365"/>
    <col min="5607" max="5615" width="9.140625" style="365" customWidth="1"/>
    <col min="5616" max="5616" width="1" style="365" customWidth="1"/>
    <col min="5617" max="5620" width="3.28515625" style="365" customWidth="1"/>
    <col min="5621" max="5621" width="1.85546875" style="365" customWidth="1"/>
    <col min="5622" max="5622" width="17.85546875" style="365" customWidth="1"/>
    <col min="5623" max="5623" width="1.85546875" style="365" customWidth="1"/>
    <col min="5624" max="5627" width="3.28515625" style="365" customWidth="1"/>
    <col min="5628" max="5628" width="1.85546875" style="365" customWidth="1"/>
    <col min="5629" max="5629" width="12.42578125" style="365" customWidth="1"/>
    <col min="5630" max="5630" width="1.85546875" style="365" customWidth="1"/>
    <col min="5631" max="5633" width="3" style="365" customWidth="1"/>
    <col min="5634" max="5634" width="4.42578125" style="365" customWidth="1"/>
    <col min="5635" max="5636" width="3" style="365" customWidth="1"/>
    <col min="5637" max="5642" width="3.28515625" style="365" customWidth="1"/>
    <col min="5643" max="5644" width="9.140625" style="365" customWidth="1"/>
    <col min="5645" max="5648" width="3.28515625" style="365" customWidth="1"/>
    <col min="5649" max="5649" width="4.140625" style="365" customWidth="1"/>
    <col min="5650" max="5862" width="10.28515625" style="365"/>
    <col min="5863" max="5871" width="9.140625" style="365" customWidth="1"/>
    <col min="5872" max="5872" width="1" style="365" customWidth="1"/>
    <col min="5873" max="5876" width="3.28515625" style="365" customWidth="1"/>
    <col min="5877" max="5877" width="1.85546875" style="365" customWidth="1"/>
    <col min="5878" max="5878" width="17.85546875" style="365" customWidth="1"/>
    <col min="5879" max="5879" width="1.85546875" style="365" customWidth="1"/>
    <col min="5880" max="5883" width="3.28515625" style="365" customWidth="1"/>
    <col min="5884" max="5884" width="1.85546875" style="365" customWidth="1"/>
    <col min="5885" max="5885" width="12.42578125" style="365" customWidth="1"/>
    <col min="5886" max="5886" width="1.85546875" style="365" customWidth="1"/>
    <col min="5887" max="5889" width="3" style="365" customWidth="1"/>
    <col min="5890" max="5890" width="4.42578125" style="365" customWidth="1"/>
    <col min="5891" max="5892" width="3" style="365" customWidth="1"/>
    <col min="5893" max="5898" width="3.28515625" style="365" customWidth="1"/>
    <col min="5899" max="5900" width="9.140625" style="365" customWidth="1"/>
    <col min="5901" max="5904" width="3.28515625" style="365" customWidth="1"/>
    <col min="5905" max="5905" width="4.140625" style="365" customWidth="1"/>
    <col min="5906" max="6118" width="10.28515625" style="365"/>
    <col min="6119" max="6127" width="9.140625" style="365" customWidth="1"/>
    <col min="6128" max="6128" width="1" style="365" customWidth="1"/>
    <col min="6129" max="6132" width="3.28515625" style="365" customWidth="1"/>
    <col min="6133" max="6133" width="1.85546875" style="365" customWidth="1"/>
    <col min="6134" max="6134" width="17.85546875" style="365" customWidth="1"/>
    <col min="6135" max="6135" width="1.85546875" style="365" customWidth="1"/>
    <col min="6136" max="6139" width="3.28515625" style="365" customWidth="1"/>
    <col min="6140" max="6140" width="1.85546875" style="365" customWidth="1"/>
    <col min="6141" max="6141" width="12.42578125" style="365" customWidth="1"/>
    <col min="6142" max="6142" width="1.85546875" style="365" customWidth="1"/>
    <col min="6143" max="6145" width="3" style="365" customWidth="1"/>
    <col min="6146" max="6146" width="4.42578125" style="365" customWidth="1"/>
    <col min="6147" max="6148" width="3" style="365" customWidth="1"/>
    <col min="6149" max="6154" width="3.28515625" style="365" customWidth="1"/>
    <col min="6155" max="6156" width="9.140625" style="365" customWidth="1"/>
    <col min="6157" max="6160" width="3.28515625" style="365" customWidth="1"/>
    <col min="6161" max="6161" width="4.140625" style="365" customWidth="1"/>
    <col min="6162" max="6374" width="10.28515625" style="365"/>
    <col min="6375" max="6383" width="9.140625" style="365" customWidth="1"/>
    <col min="6384" max="6384" width="1" style="365" customWidth="1"/>
    <col min="6385" max="6388" width="3.28515625" style="365" customWidth="1"/>
    <col min="6389" max="6389" width="1.85546875" style="365" customWidth="1"/>
    <col min="6390" max="6390" width="17.85546875" style="365" customWidth="1"/>
    <col min="6391" max="6391" width="1.85546875" style="365" customWidth="1"/>
    <col min="6392" max="6395" width="3.28515625" style="365" customWidth="1"/>
    <col min="6396" max="6396" width="1.85546875" style="365" customWidth="1"/>
    <col min="6397" max="6397" width="12.42578125" style="365" customWidth="1"/>
    <col min="6398" max="6398" width="1.85546875" style="365" customWidth="1"/>
    <col min="6399" max="6401" width="3" style="365" customWidth="1"/>
    <col min="6402" max="6402" width="4.42578125" style="365" customWidth="1"/>
    <col min="6403" max="6404" width="3" style="365" customWidth="1"/>
    <col min="6405" max="6410" width="3.28515625" style="365" customWidth="1"/>
    <col min="6411" max="6412" width="9.140625" style="365" customWidth="1"/>
    <col min="6413" max="6416" width="3.28515625" style="365" customWidth="1"/>
    <col min="6417" max="6417" width="4.140625" style="365" customWidth="1"/>
    <col min="6418" max="6630" width="10.28515625" style="365"/>
    <col min="6631" max="6639" width="9.140625" style="365" customWidth="1"/>
    <col min="6640" max="6640" width="1" style="365" customWidth="1"/>
    <col min="6641" max="6644" width="3.28515625" style="365" customWidth="1"/>
    <col min="6645" max="6645" width="1.85546875" style="365" customWidth="1"/>
    <col min="6646" max="6646" width="17.85546875" style="365" customWidth="1"/>
    <col min="6647" max="6647" width="1.85546875" style="365" customWidth="1"/>
    <col min="6648" max="6651" width="3.28515625" style="365" customWidth="1"/>
    <col min="6652" max="6652" width="1.85546875" style="365" customWidth="1"/>
    <col min="6653" max="6653" width="12.42578125" style="365" customWidth="1"/>
    <col min="6654" max="6654" width="1.85546875" style="365" customWidth="1"/>
    <col min="6655" max="6657" width="3" style="365" customWidth="1"/>
    <col min="6658" max="6658" width="4.42578125" style="365" customWidth="1"/>
    <col min="6659" max="6660" width="3" style="365" customWidth="1"/>
    <col min="6661" max="6666" width="3.28515625" style="365" customWidth="1"/>
    <col min="6667" max="6668" width="9.140625" style="365" customWidth="1"/>
    <col min="6669" max="6672" width="3.28515625" style="365" customWidth="1"/>
    <col min="6673" max="6673" width="4.140625" style="365" customWidth="1"/>
    <col min="6674" max="6886" width="10.28515625" style="365"/>
    <col min="6887" max="6895" width="9.140625" style="365" customWidth="1"/>
    <col min="6896" max="6896" width="1" style="365" customWidth="1"/>
    <col min="6897" max="6900" width="3.28515625" style="365" customWidth="1"/>
    <col min="6901" max="6901" width="1.85546875" style="365" customWidth="1"/>
    <col min="6902" max="6902" width="17.85546875" style="365" customWidth="1"/>
    <col min="6903" max="6903" width="1.85546875" style="365" customWidth="1"/>
    <col min="6904" max="6907" width="3.28515625" style="365" customWidth="1"/>
    <col min="6908" max="6908" width="1.85546875" style="365" customWidth="1"/>
    <col min="6909" max="6909" width="12.42578125" style="365" customWidth="1"/>
    <col min="6910" max="6910" width="1.85546875" style="365" customWidth="1"/>
    <col min="6911" max="6913" width="3" style="365" customWidth="1"/>
    <col min="6914" max="6914" width="4.42578125" style="365" customWidth="1"/>
    <col min="6915" max="6916" width="3" style="365" customWidth="1"/>
    <col min="6917" max="6922" width="3.28515625" style="365" customWidth="1"/>
    <col min="6923" max="6924" width="9.140625" style="365" customWidth="1"/>
    <col min="6925" max="6928" width="3.28515625" style="365" customWidth="1"/>
    <col min="6929" max="6929" width="4.140625" style="365" customWidth="1"/>
    <col min="6930" max="7142" width="10.28515625" style="365"/>
    <col min="7143" max="7151" width="9.140625" style="365" customWidth="1"/>
    <col min="7152" max="7152" width="1" style="365" customWidth="1"/>
    <col min="7153" max="7156" width="3.28515625" style="365" customWidth="1"/>
    <col min="7157" max="7157" width="1.85546875" style="365" customWidth="1"/>
    <col min="7158" max="7158" width="17.85546875" style="365" customWidth="1"/>
    <col min="7159" max="7159" width="1.85546875" style="365" customWidth="1"/>
    <col min="7160" max="7163" width="3.28515625" style="365" customWidth="1"/>
    <col min="7164" max="7164" width="1.85546875" style="365" customWidth="1"/>
    <col min="7165" max="7165" width="12.42578125" style="365" customWidth="1"/>
    <col min="7166" max="7166" width="1.85546875" style="365" customWidth="1"/>
    <col min="7167" max="7169" width="3" style="365" customWidth="1"/>
    <col min="7170" max="7170" width="4.42578125" style="365" customWidth="1"/>
    <col min="7171" max="7172" width="3" style="365" customWidth="1"/>
    <col min="7173" max="7178" width="3.28515625" style="365" customWidth="1"/>
    <col min="7179" max="7180" width="9.140625" style="365" customWidth="1"/>
    <col min="7181" max="7184" width="3.28515625" style="365" customWidth="1"/>
    <col min="7185" max="7185" width="4.140625" style="365" customWidth="1"/>
    <col min="7186" max="7398" width="10.28515625" style="365"/>
    <col min="7399" max="7407" width="9.140625" style="365" customWidth="1"/>
    <col min="7408" max="7408" width="1" style="365" customWidth="1"/>
    <col min="7409" max="7412" width="3.28515625" style="365" customWidth="1"/>
    <col min="7413" max="7413" width="1.85546875" style="365" customWidth="1"/>
    <col min="7414" max="7414" width="17.85546875" style="365" customWidth="1"/>
    <col min="7415" max="7415" width="1.85546875" style="365" customWidth="1"/>
    <col min="7416" max="7419" width="3.28515625" style="365" customWidth="1"/>
    <col min="7420" max="7420" width="1.85546875" style="365" customWidth="1"/>
    <col min="7421" max="7421" width="12.42578125" style="365" customWidth="1"/>
    <col min="7422" max="7422" width="1.85546875" style="365" customWidth="1"/>
    <col min="7423" max="7425" width="3" style="365" customWidth="1"/>
    <col min="7426" max="7426" width="4.42578125" style="365" customWidth="1"/>
    <col min="7427" max="7428" width="3" style="365" customWidth="1"/>
    <col min="7429" max="7434" width="3.28515625" style="365" customWidth="1"/>
    <col min="7435" max="7436" width="9.140625" style="365" customWidth="1"/>
    <col min="7437" max="7440" width="3.28515625" style="365" customWidth="1"/>
    <col min="7441" max="7441" width="4.140625" style="365" customWidth="1"/>
    <col min="7442" max="7654" width="10.28515625" style="365"/>
    <col min="7655" max="7663" width="9.140625" style="365" customWidth="1"/>
    <col min="7664" max="7664" width="1" style="365" customWidth="1"/>
    <col min="7665" max="7668" width="3.28515625" style="365" customWidth="1"/>
    <col min="7669" max="7669" width="1.85546875" style="365" customWidth="1"/>
    <col min="7670" max="7670" width="17.85546875" style="365" customWidth="1"/>
    <col min="7671" max="7671" width="1.85546875" style="365" customWidth="1"/>
    <col min="7672" max="7675" width="3.28515625" style="365" customWidth="1"/>
    <col min="7676" max="7676" width="1.85546875" style="365" customWidth="1"/>
    <col min="7677" max="7677" width="12.42578125" style="365" customWidth="1"/>
    <col min="7678" max="7678" width="1.85546875" style="365" customWidth="1"/>
    <col min="7679" max="7681" width="3" style="365" customWidth="1"/>
    <col min="7682" max="7682" width="4.42578125" style="365" customWidth="1"/>
    <col min="7683" max="7684" width="3" style="365" customWidth="1"/>
    <col min="7685" max="7690" width="3.28515625" style="365" customWidth="1"/>
    <col min="7691" max="7692" width="9.140625" style="365" customWidth="1"/>
    <col min="7693" max="7696" width="3.28515625" style="365" customWidth="1"/>
    <col min="7697" max="7697" width="4.140625" style="365" customWidth="1"/>
    <col min="7698" max="7910" width="10.28515625" style="365"/>
    <col min="7911" max="7919" width="9.140625" style="365" customWidth="1"/>
    <col min="7920" max="7920" width="1" style="365" customWidth="1"/>
    <col min="7921" max="7924" width="3.28515625" style="365" customWidth="1"/>
    <col min="7925" max="7925" width="1.85546875" style="365" customWidth="1"/>
    <col min="7926" max="7926" width="17.85546875" style="365" customWidth="1"/>
    <col min="7927" max="7927" width="1.85546875" style="365" customWidth="1"/>
    <col min="7928" max="7931" width="3.28515625" style="365" customWidth="1"/>
    <col min="7932" max="7932" width="1.85546875" style="365" customWidth="1"/>
    <col min="7933" max="7933" width="12.42578125" style="365" customWidth="1"/>
    <col min="7934" max="7934" width="1.85546875" style="365" customWidth="1"/>
    <col min="7935" max="7937" width="3" style="365" customWidth="1"/>
    <col min="7938" max="7938" width="4.42578125" style="365" customWidth="1"/>
    <col min="7939" max="7940" width="3" style="365" customWidth="1"/>
    <col min="7941" max="7946" width="3.28515625" style="365" customWidth="1"/>
    <col min="7947" max="7948" width="9.140625" style="365" customWidth="1"/>
    <col min="7949" max="7952" width="3.28515625" style="365" customWidth="1"/>
    <col min="7953" max="7953" width="4.140625" style="365" customWidth="1"/>
    <col min="7954" max="8166" width="10.28515625" style="365"/>
    <col min="8167" max="8175" width="9.140625" style="365" customWidth="1"/>
    <col min="8176" max="8176" width="1" style="365" customWidth="1"/>
    <col min="8177" max="8180" width="3.28515625" style="365" customWidth="1"/>
    <col min="8181" max="8181" width="1.85546875" style="365" customWidth="1"/>
    <col min="8182" max="8182" width="17.85546875" style="365" customWidth="1"/>
    <col min="8183" max="8183" width="1.85546875" style="365" customWidth="1"/>
    <col min="8184" max="8187" width="3.28515625" style="365" customWidth="1"/>
    <col min="8188" max="8188" width="1.85546875" style="365" customWidth="1"/>
    <col min="8189" max="8189" width="12.42578125" style="365" customWidth="1"/>
    <col min="8190" max="8190" width="1.85546875" style="365" customWidth="1"/>
    <col min="8191" max="8193" width="3" style="365" customWidth="1"/>
    <col min="8194" max="8194" width="4.42578125" style="365" customWidth="1"/>
    <col min="8195" max="8196" width="3" style="365" customWidth="1"/>
    <col min="8197" max="8202" width="3.28515625" style="365" customWidth="1"/>
    <col min="8203" max="8204" width="9.140625" style="365" customWidth="1"/>
    <col min="8205" max="8208" width="3.28515625" style="365" customWidth="1"/>
    <col min="8209" max="8209" width="4.140625" style="365" customWidth="1"/>
    <col min="8210" max="8422" width="10.28515625" style="365"/>
    <col min="8423" max="8431" width="9.140625" style="365" customWidth="1"/>
    <col min="8432" max="8432" width="1" style="365" customWidth="1"/>
    <col min="8433" max="8436" width="3.28515625" style="365" customWidth="1"/>
    <col min="8437" max="8437" width="1.85546875" style="365" customWidth="1"/>
    <col min="8438" max="8438" width="17.85546875" style="365" customWidth="1"/>
    <col min="8439" max="8439" width="1.85546875" style="365" customWidth="1"/>
    <col min="8440" max="8443" width="3.28515625" style="365" customWidth="1"/>
    <col min="8444" max="8444" width="1.85546875" style="365" customWidth="1"/>
    <col min="8445" max="8445" width="12.42578125" style="365" customWidth="1"/>
    <col min="8446" max="8446" width="1.85546875" style="365" customWidth="1"/>
    <col min="8447" max="8449" width="3" style="365" customWidth="1"/>
    <col min="8450" max="8450" width="4.42578125" style="365" customWidth="1"/>
    <col min="8451" max="8452" width="3" style="365" customWidth="1"/>
    <col min="8453" max="8458" width="3.28515625" style="365" customWidth="1"/>
    <col min="8459" max="8460" width="9.140625" style="365" customWidth="1"/>
    <col min="8461" max="8464" width="3.28515625" style="365" customWidth="1"/>
    <col min="8465" max="8465" width="4.140625" style="365" customWidth="1"/>
    <col min="8466" max="8678" width="10.28515625" style="365"/>
    <col min="8679" max="8687" width="9.140625" style="365" customWidth="1"/>
    <col min="8688" max="8688" width="1" style="365" customWidth="1"/>
    <col min="8689" max="8692" width="3.28515625" style="365" customWidth="1"/>
    <col min="8693" max="8693" width="1.85546875" style="365" customWidth="1"/>
    <col min="8694" max="8694" width="17.85546875" style="365" customWidth="1"/>
    <col min="8695" max="8695" width="1.85546875" style="365" customWidth="1"/>
    <col min="8696" max="8699" width="3.28515625" style="365" customWidth="1"/>
    <col min="8700" max="8700" width="1.85546875" style="365" customWidth="1"/>
    <col min="8701" max="8701" width="12.42578125" style="365" customWidth="1"/>
    <col min="8702" max="8702" width="1.85546875" style="365" customWidth="1"/>
    <col min="8703" max="8705" width="3" style="365" customWidth="1"/>
    <col min="8706" max="8706" width="4.42578125" style="365" customWidth="1"/>
    <col min="8707" max="8708" width="3" style="365" customWidth="1"/>
    <col min="8709" max="8714" width="3.28515625" style="365" customWidth="1"/>
    <col min="8715" max="8716" width="9.140625" style="365" customWidth="1"/>
    <col min="8717" max="8720" width="3.28515625" style="365" customWidth="1"/>
    <col min="8721" max="8721" width="4.140625" style="365" customWidth="1"/>
    <col min="8722" max="8934" width="10.28515625" style="365"/>
    <col min="8935" max="8943" width="9.140625" style="365" customWidth="1"/>
    <col min="8944" max="8944" width="1" style="365" customWidth="1"/>
    <col min="8945" max="8948" width="3.28515625" style="365" customWidth="1"/>
    <col min="8949" max="8949" width="1.85546875" style="365" customWidth="1"/>
    <col min="8950" max="8950" width="17.85546875" style="365" customWidth="1"/>
    <col min="8951" max="8951" width="1.85546875" style="365" customWidth="1"/>
    <col min="8952" max="8955" width="3.28515625" style="365" customWidth="1"/>
    <col min="8956" max="8956" width="1.85546875" style="365" customWidth="1"/>
    <col min="8957" max="8957" width="12.42578125" style="365" customWidth="1"/>
    <col min="8958" max="8958" width="1.85546875" style="365" customWidth="1"/>
    <col min="8959" max="8961" width="3" style="365" customWidth="1"/>
    <col min="8962" max="8962" width="4.42578125" style="365" customWidth="1"/>
    <col min="8963" max="8964" width="3" style="365" customWidth="1"/>
    <col min="8965" max="8970" width="3.28515625" style="365" customWidth="1"/>
    <col min="8971" max="8972" width="9.140625" style="365" customWidth="1"/>
    <col min="8973" max="8976" width="3.28515625" style="365" customWidth="1"/>
    <col min="8977" max="8977" width="4.140625" style="365" customWidth="1"/>
    <col min="8978" max="9190" width="10.28515625" style="365"/>
    <col min="9191" max="9199" width="9.140625" style="365" customWidth="1"/>
    <col min="9200" max="9200" width="1" style="365" customWidth="1"/>
    <col min="9201" max="9204" width="3.28515625" style="365" customWidth="1"/>
    <col min="9205" max="9205" width="1.85546875" style="365" customWidth="1"/>
    <col min="9206" max="9206" width="17.85546875" style="365" customWidth="1"/>
    <col min="9207" max="9207" width="1.85546875" style="365" customWidth="1"/>
    <col min="9208" max="9211" width="3.28515625" style="365" customWidth="1"/>
    <col min="9212" max="9212" width="1.85546875" style="365" customWidth="1"/>
    <col min="9213" max="9213" width="12.42578125" style="365" customWidth="1"/>
    <col min="9214" max="9214" width="1.85546875" style="365" customWidth="1"/>
    <col min="9215" max="9217" width="3" style="365" customWidth="1"/>
    <col min="9218" max="9218" width="4.42578125" style="365" customWidth="1"/>
    <col min="9219" max="9220" width="3" style="365" customWidth="1"/>
    <col min="9221" max="9226" width="3.28515625" style="365" customWidth="1"/>
    <col min="9227" max="9228" width="9.140625" style="365" customWidth="1"/>
    <col min="9229" max="9232" width="3.28515625" style="365" customWidth="1"/>
    <col min="9233" max="9233" width="4.140625" style="365" customWidth="1"/>
    <col min="9234" max="9446" width="10.28515625" style="365"/>
    <col min="9447" max="9455" width="9.140625" style="365" customWidth="1"/>
    <col min="9456" max="9456" width="1" style="365" customWidth="1"/>
    <col min="9457" max="9460" width="3.28515625" style="365" customWidth="1"/>
    <col min="9461" max="9461" width="1.85546875" style="365" customWidth="1"/>
    <col min="9462" max="9462" width="17.85546875" style="365" customWidth="1"/>
    <col min="9463" max="9463" width="1.85546875" style="365" customWidth="1"/>
    <col min="9464" max="9467" width="3.28515625" style="365" customWidth="1"/>
    <col min="9468" max="9468" width="1.85546875" style="365" customWidth="1"/>
    <col min="9469" max="9469" width="12.42578125" style="365" customWidth="1"/>
    <col min="9470" max="9470" width="1.85546875" style="365" customWidth="1"/>
    <col min="9471" max="9473" width="3" style="365" customWidth="1"/>
    <col min="9474" max="9474" width="4.42578125" style="365" customWidth="1"/>
    <col min="9475" max="9476" width="3" style="365" customWidth="1"/>
    <col min="9477" max="9482" width="3.28515625" style="365" customWidth="1"/>
    <col min="9483" max="9484" width="9.140625" style="365" customWidth="1"/>
    <col min="9485" max="9488" width="3.28515625" style="365" customWidth="1"/>
    <col min="9489" max="9489" width="4.140625" style="365" customWidth="1"/>
    <col min="9490" max="9702" width="10.28515625" style="365"/>
    <col min="9703" max="9711" width="9.140625" style="365" customWidth="1"/>
    <col min="9712" max="9712" width="1" style="365" customWidth="1"/>
    <col min="9713" max="9716" width="3.28515625" style="365" customWidth="1"/>
    <col min="9717" max="9717" width="1.85546875" style="365" customWidth="1"/>
    <col min="9718" max="9718" width="17.85546875" style="365" customWidth="1"/>
    <col min="9719" max="9719" width="1.85546875" style="365" customWidth="1"/>
    <col min="9720" max="9723" width="3.28515625" style="365" customWidth="1"/>
    <col min="9724" max="9724" width="1.85546875" style="365" customWidth="1"/>
    <col min="9725" max="9725" width="12.42578125" style="365" customWidth="1"/>
    <col min="9726" max="9726" width="1.85546875" style="365" customWidth="1"/>
    <col min="9727" max="9729" width="3" style="365" customWidth="1"/>
    <col min="9730" max="9730" width="4.42578125" style="365" customWidth="1"/>
    <col min="9731" max="9732" width="3" style="365" customWidth="1"/>
    <col min="9733" max="9738" width="3.28515625" style="365" customWidth="1"/>
    <col min="9739" max="9740" width="9.140625" style="365" customWidth="1"/>
    <col min="9741" max="9744" width="3.28515625" style="365" customWidth="1"/>
    <col min="9745" max="9745" width="4.140625" style="365" customWidth="1"/>
    <col min="9746" max="9958" width="10.28515625" style="365"/>
    <col min="9959" max="9967" width="9.140625" style="365" customWidth="1"/>
    <col min="9968" max="9968" width="1" style="365" customWidth="1"/>
    <col min="9969" max="9972" width="3.28515625" style="365" customWidth="1"/>
    <col min="9973" max="9973" width="1.85546875" style="365" customWidth="1"/>
    <col min="9974" max="9974" width="17.85546875" style="365" customWidth="1"/>
    <col min="9975" max="9975" width="1.85546875" style="365" customWidth="1"/>
    <col min="9976" max="9979" width="3.28515625" style="365" customWidth="1"/>
    <col min="9980" max="9980" width="1.85546875" style="365" customWidth="1"/>
    <col min="9981" max="9981" width="12.42578125" style="365" customWidth="1"/>
    <col min="9982" max="9982" width="1.85546875" style="365" customWidth="1"/>
    <col min="9983" max="9985" width="3" style="365" customWidth="1"/>
    <col min="9986" max="9986" width="4.42578125" style="365" customWidth="1"/>
    <col min="9987" max="9988" width="3" style="365" customWidth="1"/>
    <col min="9989" max="9994" width="3.28515625" style="365" customWidth="1"/>
    <col min="9995" max="9996" width="9.140625" style="365" customWidth="1"/>
    <col min="9997" max="10000" width="3.28515625" style="365" customWidth="1"/>
    <col min="10001" max="10001" width="4.140625" style="365" customWidth="1"/>
    <col min="10002" max="10214" width="10.28515625" style="365"/>
    <col min="10215" max="10223" width="9.140625" style="365" customWidth="1"/>
    <col min="10224" max="10224" width="1" style="365" customWidth="1"/>
    <col min="10225" max="10228" width="3.28515625" style="365" customWidth="1"/>
    <col min="10229" max="10229" width="1.85546875" style="365" customWidth="1"/>
    <col min="10230" max="10230" width="17.85546875" style="365" customWidth="1"/>
    <col min="10231" max="10231" width="1.85546875" style="365" customWidth="1"/>
    <col min="10232" max="10235" width="3.28515625" style="365" customWidth="1"/>
    <col min="10236" max="10236" width="1.85546875" style="365" customWidth="1"/>
    <col min="10237" max="10237" width="12.42578125" style="365" customWidth="1"/>
    <col min="10238" max="10238" width="1.85546875" style="365" customWidth="1"/>
    <col min="10239" max="10241" width="3" style="365" customWidth="1"/>
    <col min="10242" max="10242" width="4.42578125" style="365" customWidth="1"/>
    <col min="10243" max="10244" width="3" style="365" customWidth="1"/>
    <col min="10245" max="10250" width="3.28515625" style="365" customWidth="1"/>
    <col min="10251" max="10252" width="9.140625" style="365" customWidth="1"/>
    <col min="10253" max="10256" width="3.28515625" style="365" customWidth="1"/>
    <col min="10257" max="10257" width="4.140625" style="365" customWidth="1"/>
    <col min="10258" max="10470" width="10.28515625" style="365"/>
    <col min="10471" max="10479" width="9.140625" style="365" customWidth="1"/>
    <col min="10480" max="10480" width="1" style="365" customWidth="1"/>
    <col min="10481" max="10484" width="3.28515625" style="365" customWidth="1"/>
    <col min="10485" max="10485" width="1.85546875" style="365" customWidth="1"/>
    <col min="10486" max="10486" width="17.85546875" style="365" customWidth="1"/>
    <col min="10487" max="10487" width="1.85546875" style="365" customWidth="1"/>
    <col min="10488" max="10491" width="3.28515625" style="365" customWidth="1"/>
    <col min="10492" max="10492" width="1.85546875" style="365" customWidth="1"/>
    <col min="10493" max="10493" width="12.42578125" style="365" customWidth="1"/>
    <col min="10494" max="10494" width="1.85546875" style="365" customWidth="1"/>
    <col min="10495" max="10497" width="3" style="365" customWidth="1"/>
    <col min="10498" max="10498" width="4.42578125" style="365" customWidth="1"/>
    <col min="10499" max="10500" width="3" style="365" customWidth="1"/>
    <col min="10501" max="10506" width="3.28515625" style="365" customWidth="1"/>
    <col min="10507" max="10508" width="9.140625" style="365" customWidth="1"/>
    <col min="10509" max="10512" width="3.28515625" style="365" customWidth="1"/>
    <col min="10513" max="10513" width="4.140625" style="365" customWidth="1"/>
    <col min="10514" max="10726" width="10.28515625" style="365"/>
    <col min="10727" max="10735" width="9.140625" style="365" customWidth="1"/>
    <col min="10736" max="10736" width="1" style="365" customWidth="1"/>
    <col min="10737" max="10740" width="3.28515625" style="365" customWidth="1"/>
    <col min="10741" max="10741" width="1.85546875" style="365" customWidth="1"/>
    <col min="10742" max="10742" width="17.85546875" style="365" customWidth="1"/>
    <col min="10743" max="10743" width="1.85546875" style="365" customWidth="1"/>
    <col min="10744" max="10747" width="3.28515625" style="365" customWidth="1"/>
    <col min="10748" max="10748" width="1.85546875" style="365" customWidth="1"/>
    <col min="10749" max="10749" width="12.42578125" style="365" customWidth="1"/>
    <col min="10750" max="10750" width="1.85546875" style="365" customWidth="1"/>
    <col min="10751" max="10753" width="3" style="365" customWidth="1"/>
    <col min="10754" max="10754" width="4.42578125" style="365" customWidth="1"/>
    <col min="10755" max="10756" width="3" style="365" customWidth="1"/>
    <col min="10757" max="10762" width="3.28515625" style="365" customWidth="1"/>
    <col min="10763" max="10764" width="9.140625" style="365" customWidth="1"/>
    <col min="10765" max="10768" width="3.28515625" style="365" customWidth="1"/>
    <col min="10769" max="10769" width="4.140625" style="365" customWidth="1"/>
    <col min="10770" max="10982" width="10.28515625" style="365"/>
    <col min="10983" max="10991" width="9.140625" style="365" customWidth="1"/>
    <col min="10992" max="10992" width="1" style="365" customWidth="1"/>
    <col min="10993" max="10996" width="3.28515625" style="365" customWidth="1"/>
    <col min="10997" max="10997" width="1.85546875" style="365" customWidth="1"/>
    <col min="10998" max="10998" width="17.85546875" style="365" customWidth="1"/>
    <col min="10999" max="10999" width="1.85546875" style="365" customWidth="1"/>
    <col min="11000" max="11003" width="3.28515625" style="365" customWidth="1"/>
    <col min="11004" max="11004" width="1.85546875" style="365" customWidth="1"/>
    <col min="11005" max="11005" width="12.42578125" style="365" customWidth="1"/>
    <col min="11006" max="11006" width="1.85546875" style="365" customWidth="1"/>
    <col min="11007" max="11009" width="3" style="365" customWidth="1"/>
    <col min="11010" max="11010" width="4.42578125" style="365" customWidth="1"/>
    <col min="11011" max="11012" width="3" style="365" customWidth="1"/>
    <col min="11013" max="11018" width="3.28515625" style="365" customWidth="1"/>
    <col min="11019" max="11020" width="9.140625" style="365" customWidth="1"/>
    <col min="11021" max="11024" width="3.28515625" style="365" customWidth="1"/>
    <col min="11025" max="11025" width="4.140625" style="365" customWidth="1"/>
    <col min="11026" max="11238" width="10.28515625" style="365"/>
    <col min="11239" max="11247" width="9.140625" style="365" customWidth="1"/>
    <col min="11248" max="11248" width="1" style="365" customWidth="1"/>
    <col min="11249" max="11252" width="3.28515625" style="365" customWidth="1"/>
    <col min="11253" max="11253" width="1.85546875" style="365" customWidth="1"/>
    <col min="11254" max="11254" width="17.85546875" style="365" customWidth="1"/>
    <col min="11255" max="11255" width="1.85546875" style="365" customWidth="1"/>
    <col min="11256" max="11259" width="3.28515625" style="365" customWidth="1"/>
    <col min="11260" max="11260" width="1.85546875" style="365" customWidth="1"/>
    <col min="11261" max="11261" width="12.42578125" style="365" customWidth="1"/>
    <col min="11262" max="11262" width="1.85546875" style="365" customWidth="1"/>
    <col min="11263" max="11265" width="3" style="365" customWidth="1"/>
    <col min="11266" max="11266" width="4.42578125" style="365" customWidth="1"/>
    <col min="11267" max="11268" width="3" style="365" customWidth="1"/>
    <col min="11269" max="11274" width="3.28515625" style="365" customWidth="1"/>
    <col min="11275" max="11276" width="9.140625" style="365" customWidth="1"/>
    <col min="11277" max="11280" width="3.28515625" style="365" customWidth="1"/>
    <col min="11281" max="11281" width="4.140625" style="365" customWidth="1"/>
    <col min="11282" max="11494" width="10.28515625" style="365"/>
    <col min="11495" max="11503" width="9.140625" style="365" customWidth="1"/>
    <col min="11504" max="11504" width="1" style="365" customWidth="1"/>
    <col min="11505" max="11508" width="3.28515625" style="365" customWidth="1"/>
    <col min="11509" max="11509" width="1.85546875" style="365" customWidth="1"/>
    <col min="11510" max="11510" width="17.85546875" style="365" customWidth="1"/>
    <col min="11511" max="11511" width="1.85546875" style="365" customWidth="1"/>
    <col min="11512" max="11515" width="3.28515625" style="365" customWidth="1"/>
    <col min="11516" max="11516" width="1.85546875" style="365" customWidth="1"/>
    <col min="11517" max="11517" width="12.42578125" style="365" customWidth="1"/>
    <col min="11518" max="11518" width="1.85546875" style="365" customWidth="1"/>
    <col min="11519" max="11521" width="3" style="365" customWidth="1"/>
    <col min="11522" max="11522" width="4.42578125" style="365" customWidth="1"/>
    <col min="11523" max="11524" width="3" style="365" customWidth="1"/>
    <col min="11525" max="11530" width="3.28515625" style="365" customWidth="1"/>
    <col min="11531" max="11532" width="9.140625" style="365" customWidth="1"/>
    <col min="11533" max="11536" width="3.28515625" style="365" customWidth="1"/>
    <col min="11537" max="11537" width="4.140625" style="365" customWidth="1"/>
    <col min="11538" max="11750" width="10.28515625" style="365"/>
    <col min="11751" max="11759" width="9.140625" style="365" customWidth="1"/>
    <col min="11760" max="11760" width="1" style="365" customWidth="1"/>
    <col min="11761" max="11764" width="3.28515625" style="365" customWidth="1"/>
    <col min="11765" max="11765" width="1.85546875" style="365" customWidth="1"/>
    <col min="11766" max="11766" width="17.85546875" style="365" customWidth="1"/>
    <col min="11767" max="11767" width="1.85546875" style="365" customWidth="1"/>
    <col min="11768" max="11771" width="3.28515625" style="365" customWidth="1"/>
    <col min="11772" max="11772" width="1.85546875" style="365" customWidth="1"/>
    <col min="11773" max="11773" width="12.42578125" style="365" customWidth="1"/>
    <col min="11774" max="11774" width="1.85546875" style="365" customWidth="1"/>
    <col min="11775" max="11777" width="3" style="365" customWidth="1"/>
    <col min="11778" max="11778" width="4.42578125" style="365" customWidth="1"/>
    <col min="11779" max="11780" width="3" style="365" customWidth="1"/>
    <col min="11781" max="11786" width="3.28515625" style="365" customWidth="1"/>
    <col min="11787" max="11788" width="9.140625" style="365" customWidth="1"/>
    <col min="11789" max="11792" width="3.28515625" style="365" customWidth="1"/>
    <col min="11793" max="11793" width="4.140625" style="365" customWidth="1"/>
    <col min="11794" max="12006" width="10.28515625" style="365"/>
    <col min="12007" max="12015" width="9.140625" style="365" customWidth="1"/>
    <col min="12016" max="12016" width="1" style="365" customWidth="1"/>
    <col min="12017" max="12020" width="3.28515625" style="365" customWidth="1"/>
    <col min="12021" max="12021" width="1.85546875" style="365" customWidth="1"/>
    <col min="12022" max="12022" width="17.85546875" style="365" customWidth="1"/>
    <col min="12023" max="12023" width="1.85546875" style="365" customWidth="1"/>
    <col min="12024" max="12027" width="3.28515625" style="365" customWidth="1"/>
    <col min="12028" max="12028" width="1.85546875" style="365" customWidth="1"/>
    <col min="12029" max="12029" width="12.42578125" style="365" customWidth="1"/>
    <col min="12030" max="12030" width="1.85546875" style="365" customWidth="1"/>
    <col min="12031" max="12033" width="3" style="365" customWidth="1"/>
    <col min="12034" max="12034" width="4.42578125" style="365" customWidth="1"/>
    <col min="12035" max="12036" width="3" style="365" customWidth="1"/>
    <col min="12037" max="12042" width="3.28515625" style="365" customWidth="1"/>
    <col min="12043" max="12044" width="9.140625" style="365" customWidth="1"/>
    <col min="12045" max="12048" width="3.28515625" style="365" customWidth="1"/>
    <col min="12049" max="12049" width="4.140625" style="365" customWidth="1"/>
    <col min="12050" max="12262" width="10.28515625" style="365"/>
    <col min="12263" max="12271" width="9.140625" style="365" customWidth="1"/>
    <col min="12272" max="12272" width="1" style="365" customWidth="1"/>
    <col min="12273" max="12276" width="3.28515625" style="365" customWidth="1"/>
    <col min="12277" max="12277" width="1.85546875" style="365" customWidth="1"/>
    <col min="12278" max="12278" width="17.85546875" style="365" customWidth="1"/>
    <col min="12279" max="12279" width="1.85546875" style="365" customWidth="1"/>
    <col min="12280" max="12283" width="3.28515625" style="365" customWidth="1"/>
    <col min="12284" max="12284" width="1.85546875" style="365" customWidth="1"/>
    <col min="12285" max="12285" width="12.42578125" style="365" customWidth="1"/>
    <col min="12286" max="12286" width="1.85546875" style="365" customWidth="1"/>
    <col min="12287" max="12289" width="3" style="365" customWidth="1"/>
    <col min="12290" max="12290" width="4.42578125" style="365" customWidth="1"/>
    <col min="12291" max="12292" width="3" style="365" customWidth="1"/>
    <col min="12293" max="12298" width="3.28515625" style="365" customWidth="1"/>
    <col min="12299" max="12300" width="9.140625" style="365" customWidth="1"/>
    <col min="12301" max="12304" width="3.28515625" style="365" customWidth="1"/>
    <col min="12305" max="12305" width="4.140625" style="365" customWidth="1"/>
    <col min="12306" max="12518" width="10.28515625" style="365"/>
    <col min="12519" max="12527" width="9.140625" style="365" customWidth="1"/>
    <col min="12528" max="12528" width="1" style="365" customWidth="1"/>
    <col min="12529" max="12532" width="3.28515625" style="365" customWidth="1"/>
    <col min="12533" max="12533" width="1.85546875" style="365" customWidth="1"/>
    <col min="12534" max="12534" width="17.85546875" style="365" customWidth="1"/>
    <col min="12535" max="12535" width="1.85546875" style="365" customWidth="1"/>
    <col min="12536" max="12539" width="3.28515625" style="365" customWidth="1"/>
    <col min="12540" max="12540" width="1.85546875" style="365" customWidth="1"/>
    <col min="12541" max="12541" width="12.42578125" style="365" customWidth="1"/>
    <col min="12542" max="12542" width="1.85546875" style="365" customWidth="1"/>
    <col min="12543" max="12545" width="3" style="365" customWidth="1"/>
    <col min="12546" max="12546" width="4.42578125" style="365" customWidth="1"/>
    <col min="12547" max="12548" width="3" style="365" customWidth="1"/>
    <col min="12549" max="12554" width="3.28515625" style="365" customWidth="1"/>
    <col min="12555" max="12556" width="9.140625" style="365" customWidth="1"/>
    <col min="12557" max="12560" width="3.28515625" style="365" customWidth="1"/>
    <col min="12561" max="12561" width="4.140625" style="365" customWidth="1"/>
    <col min="12562" max="12774" width="10.28515625" style="365"/>
    <col min="12775" max="12783" width="9.140625" style="365" customWidth="1"/>
    <col min="12784" max="12784" width="1" style="365" customWidth="1"/>
    <col min="12785" max="12788" width="3.28515625" style="365" customWidth="1"/>
    <col min="12789" max="12789" width="1.85546875" style="365" customWidth="1"/>
    <col min="12790" max="12790" width="17.85546875" style="365" customWidth="1"/>
    <col min="12791" max="12791" width="1.85546875" style="365" customWidth="1"/>
    <col min="12792" max="12795" width="3.28515625" style="365" customWidth="1"/>
    <col min="12796" max="12796" width="1.85546875" style="365" customWidth="1"/>
    <col min="12797" max="12797" width="12.42578125" style="365" customWidth="1"/>
    <col min="12798" max="12798" width="1.85546875" style="365" customWidth="1"/>
    <col min="12799" max="12801" width="3" style="365" customWidth="1"/>
    <col min="12802" max="12802" width="4.42578125" style="365" customWidth="1"/>
    <col min="12803" max="12804" width="3" style="365" customWidth="1"/>
    <col min="12805" max="12810" width="3.28515625" style="365" customWidth="1"/>
    <col min="12811" max="12812" width="9.140625" style="365" customWidth="1"/>
    <col min="12813" max="12816" width="3.28515625" style="365" customWidth="1"/>
    <col min="12817" max="12817" width="4.140625" style="365" customWidth="1"/>
    <col min="12818" max="13030" width="10.28515625" style="365"/>
    <col min="13031" max="13039" width="9.140625" style="365" customWidth="1"/>
    <col min="13040" max="13040" width="1" style="365" customWidth="1"/>
    <col min="13041" max="13044" width="3.28515625" style="365" customWidth="1"/>
    <col min="13045" max="13045" width="1.85546875" style="365" customWidth="1"/>
    <col min="13046" max="13046" width="17.85546875" style="365" customWidth="1"/>
    <col min="13047" max="13047" width="1.85546875" style="365" customWidth="1"/>
    <col min="13048" max="13051" width="3.28515625" style="365" customWidth="1"/>
    <col min="13052" max="13052" width="1.85546875" style="365" customWidth="1"/>
    <col min="13053" max="13053" width="12.42578125" style="365" customWidth="1"/>
    <col min="13054" max="13054" width="1.85546875" style="365" customWidth="1"/>
    <col min="13055" max="13057" width="3" style="365" customWidth="1"/>
    <col min="13058" max="13058" width="4.42578125" style="365" customWidth="1"/>
    <col min="13059" max="13060" width="3" style="365" customWidth="1"/>
    <col min="13061" max="13066" width="3.28515625" style="365" customWidth="1"/>
    <col min="13067" max="13068" width="9.140625" style="365" customWidth="1"/>
    <col min="13069" max="13072" width="3.28515625" style="365" customWidth="1"/>
    <col min="13073" max="13073" width="4.140625" style="365" customWidth="1"/>
    <col min="13074" max="13286" width="10.28515625" style="365"/>
    <col min="13287" max="13295" width="9.140625" style="365" customWidth="1"/>
    <col min="13296" max="13296" width="1" style="365" customWidth="1"/>
    <col min="13297" max="13300" width="3.28515625" style="365" customWidth="1"/>
    <col min="13301" max="13301" width="1.85546875" style="365" customWidth="1"/>
    <col min="13302" max="13302" width="17.85546875" style="365" customWidth="1"/>
    <col min="13303" max="13303" width="1.85546875" style="365" customWidth="1"/>
    <col min="13304" max="13307" width="3.28515625" style="365" customWidth="1"/>
    <col min="13308" max="13308" width="1.85546875" style="365" customWidth="1"/>
    <col min="13309" max="13309" width="12.42578125" style="365" customWidth="1"/>
    <col min="13310" max="13310" width="1.85546875" style="365" customWidth="1"/>
    <col min="13311" max="13313" width="3" style="365" customWidth="1"/>
    <col min="13314" max="13314" width="4.42578125" style="365" customWidth="1"/>
    <col min="13315" max="13316" width="3" style="365" customWidth="1"/>
    <col min="13317" max="13322" width="3.28515625" style="365" customWidth="1"/>
    <col min="13323" max="13324" width="9.140625" style="365" customWidth="1"/>
    <col min="13325" max="13328" width="3.28515625" style="365" customWidth="1"/>
    <col min="13329" max="13329" width="4.140625" style="365" customWidth="1"/>
    <col min="13330" max="13542" width="10.28515625" style="365"/>
    <col min="13543" max="13551" width="9.140625" style="365" customWidth="1"/>
    <col min="13552" max="13552" width="1" style="365" customWidth="1"/>
    <col min="13553" max="13556" width="3.28515625" style="365" customWidth="1"/>
    <col min="13557" max="13557" width="1.85546875" style="365" customWidth="1"/>
    <col min="13558" max="13558" width="17.85546875" style="365" customWidth="1"/>
    <col min="13559" max="13559" width="1.85546875" style="365" customWidth="1"/>
    <col min="13560" max="13563" width="3.28515625" style="365" customWidth="1"/>
    <col min="13564" max="13564" width="1.85546875" style="365" customWidth="1"/>
    <col min="13565" max="13565" width="12.42578125" style="365" customWidth="1"/>
    <col min="13566" max="13566" width="1.85546875" style="365" customWidth="1"/>
    <col min="13567" max="13569" width="3" style="365" customWidth="1"/>
    <col min="13570" max="13570" width="4.42578125" style="365" customWidth="1"/>
    <col min="13571" max="13572" width="3" style="365" customWidth="1"/>
    <col min="13573" max="13578" width="3.28515625" style="365" customWidth="1"/>
    <col min="13579" max="13580" width="9.140625" style="365" customWidth="1"/>
    <col min="13581" max="13584" width="3.28515625" style="365" customWidth="1"/>
    <col min="13585" max="13585" width="4.140625" style="365" customWidth="1"/>
    <col min="13586" max="13798" width="10.28515625" style="365"/>
    <col min="13799" max="13807" width="9.140625" style="365" customWidth="1"/>
    <col min="13808" max="13808" width="1" style="365" customWidth="1"/>
    <col min="13809" max="13812" width="3.28515625" style="365" customWidth="1"/>
    <col min="13813" max="13813" width="1.85546875" style="365" customWidth="1"/>
    <col min="13814" max="13814" width="17.85546875" style="365" customWidth="1"/>
    <col min="13815" max="13815" width="1.85546875" style="365" customWidth="1"/>
    <col min="13816" max="13819" width="3.28515625" style="365" customWidth="1"/>
    <col min="13820" max="13820" width="1.85546875" style="365" customWidth="1"/>
    <col min="13821" max="13821" width="12.42578125" style="365" customWidth="1"/>
    <col min="13822" max="13822" width="1.85546875" style="365" customWidth="1"/>
    <col min="13823" max="13825" width="3" style="365" customWidth="1"/>
    <col min="13826" max="13826" width="4.42578125" style="365" customWidth="1"/>
    <col min="13827" max="13828" width="3" style="365" customWidth="1"/>
    <col min="13829" max="13834" width="3.28515625" style="365" customWidth="1"/>
    <col min="13835" max="13836" width="9.140625" style="365" customWidth="1"/>
    <col min="13837" max="13840" width="3.28515625" style="365" customWidth="1"/>
    <col min="13841" max="13841" width="4.140625" style="365" customWidth="1"/>
    <col min="13842" max="14054" width="10.28515625" style="365"/>
    <col min="14055" max="14063" width="9.140625" style="365" customWidth="1"/>
    <col min="14064" max="14064" width="1" style="365" customWidth="1"/>
    <col min="14065" max="14068" width="3.28515625" style="365" customWidth="1"/>
    <col min="14069" max="14069" width="1.85546875" style="365" customWidth="1"/>
    <col min="14070" max="14070" width="17.85546875" style="365" customWidth="1"/>
    <col min="14071" max="14071" width="1.85546875" style="365" customWidth="1"/>
    <col min="14072" max="14075" width="3.28515625" style="365" customWidth="1"/>
    <col min="14076" max="14076" width="1.85546875" style="365" customWidth="1"/>
    <col min="14077" max="14077" width="12.42578125" style="365" customWidth="1"/>
    <col min="14078" max="14078" width="1.85546875" style="365" customWidth="1"/>
    <col min="14079" max="14081" width="3" style="365" customWidth="1"/>
    <col min="14082" max="14082" width="4.42578125" style="365" customWidth="1"/>
    <col min="14083" max="14084" width="3" style="365" customWidth="1"/>
    <col min="14085" max="14090" width="3.28515625" style="365" customWidth="1"/>
    <col min="14091" max="14092" width="9.140625" style="365" customWidth="1"/>
    <col min="14093" max="14096" width="3.28515625" style="365" customWidth="1"/>
    <col min="14097" max="14097" width="4.140625" style="365" customWidth="1"/>
    <col min="14098" max="14310" width="10.28515625" style="365"/>
    <col min="14311" max="14319" width="9.140625" style="365" customWidth="1"/>
    <col min="14320" max="14320" width="1" style="365" customWidth="1"/>
    <col min="14321" max="14324" width="3.28515625" style="365" customWidth="1"/>
    <col min="14325" max="14325" width="1.85546875" style="365" customWidth="1"/>
    <col min="14326" max="14326" width="17.85546875" style="365" customWidth="1"/>
    <col min="14327" max="14327" width="1.85546875" style="365" customWidth="1"/>
    <col min="14328" max="14331" width="3.28515625" style="365" customWidth="1"/>
    <col min="14332" max="14332" width="1.85546875" style="365" customWidth="1"/>
    <col min="14333" max="14333" width="12.42578125" style="365" customWidth="1"/>
    <col min="14334" max="14334" width="1.85546875" style="365" customWidth="1"/>
    <col min="14335" max="14337" width="3" style="365" customWidth="1"/>
    <col min="14338" max="14338" width="4.42578125" style="365" customWidth="1"/>
    <col min="14339" max="14340" width="3" style="365" customWidth="1"/>
    <col min="14341" max="14346" width="3.28515625" style="365" customWidth="1"/>
    <col min="14347" max="14348" width="9.140625" style="365" customWidth="1"/>
    <col min="14349" max="14352" width="3.28515625" style="365" customWidth="1"/>
    <col min="14353" max="14353" width="4.140625" style="365" customWidth="1"/>
    <col min="14354" max="14566" width="10.28515625" style="365"/>
    <col min="14567" max="14575" width="9.140625" style="365" customWidth="1"/>
    <col min="14576" max="14576" width="1" style="365" customWidth="1"/>
    <col min="14577" max="14580" width="3.28515625" style="365" customWidth="1"/>
    <col min="14581" max="14581" width="1.85546875" style="365" customWidth="1"/>
    <col min="14582" max="14582" width="17.85546875" style="365" customWidth="1"/>
    <col min="14583" max="14583" width="1.85546875" style="365" customWidth="1"/>
    <col min="14584" max="14587" width="3.28515625" style="365" customWidth="1"/>
    <col min="14588" max="14588" width="1.85546875" style="365" customWidth="1"/>
    <col min="14589" max="14589" width="12.42578125" style="365" customWidth="1"/>
    <col min="14590" max="14590" width="1.85546875" style="365" customWidth="1"/>
    <col min="14591" max="14593" width="3" style="365" customWidth="1"/>
    <col min="14594" max="14594" width="4.42578125" style="365" customWidth="1"/>
    <col min="14595" max="14596" width="3" style="365" customWidth="1"/>
    <col min="14597" max="14602" width="3.28515625" style="365" customWidth="1"/>
    <col min="14603" max="14604" width="9.140625" style="365" customWidth="1"/>
    <col min="14605" max="14608" width="3.28515625" style="365" customWidth="1"/>
    <col min="14609" max="14609" width="4.140625" style="365" customWidth="1"/>
    <col min="14610" max="14822" width="10.28515625" style="365"/>
    <col min="14823" max="14831" width="9.140625" style="365" customWidth="1"/>
    <col min="14832" max="14832" width="1" style="365" customWidth="1"/>
    <col min="14833" max="14836" width="3.28515625" style="365" customWidth="1"/>
    <col min="14837" max="14837" width="1.85546875" style="365" customWidth="1"/>
    <col min="14838" max="14838" width="17.85546875" style="365" customWidth="1"/>
    <col min="14839" max="14839" width="1.85546875" style="365" customWidth="1"/>
    <col min="14840" max="14843" width="3.28515625" style="365" customWidth="1"/>
    <col min="14844" max="14844" width="1.85546875" style="365" customWidth="1"/>
    <col min="14845" max="14845" width="12.42578125" style="365" customWidth="1"/>
    <col min="14846" max="14846" width="1.85546875" style="365" customWidth="1"/>
    <col min="14847" max="14849" width="3" style="365" customWidth="1"/>
    <col min="14850" max="14850" width="4.42578125" style="365" customWidth="1"/>
    <col min="14851" max="14852" width="3" style="365" customWidth="1"/>
    <col min="14853" max="14858" width="3.28515625" style="365" customWidth="1"/>
    <col min="14859" max="14860" width="9.140625" style="365" customWidth="1"/>
    <col min="14861" max="14864" width="3.28515625" style="365" customWidth="1"/>
    <col min="14865" max="14865" width="4.140625" style="365" customWidth="1"/>
    <col min="14866" max="15078" width="10.28515625" style="365"/>
    <col min="15079" max="15087" width="9.140625" style="365" customWidth="1"/>
    <col min="15088" max="15088" width="1" style="365" customWidth="1"/>
    <col min="15089" max="15092" width="3.28515625" style="365" customWidth="1"/>
    <col min="15093" max="15093" width="1.85546875" style="365" customWidth="1"/>
    <col min="15094" max="15094" width="17.85546875" style="365" customWidth="1"/>
    <col min="15095" max="15095" width="1.85546875" style="365" customWidth="1"/>
    <col min="15096" max="15099" width="3.28515625" style="365" customWidth="1"/>
    <col min="15100" max="15100" width="1.85546875" style="365" customWidth="1"/>
    <col min="15101" max="15101" width="12.42578125" style="365" customWidth="1"/>
    <col min="15102" max="15102" width="1.85546875" style="365" customWidth="1"/>
    <col min="15103" max="15105" width="3" style="365" customWidth="1"/>
    <col min="15106" max="15106" width="4.42578125" style="365" customWidth="1"/>
    <col min="15107" max="15108" width="3" style="365" customWidth="1"/>
    <col min="15109" max="15114" width="3.28515625" style="365" customWidth="1"/>
    <col min="15115" max="15116" width="9.140625" style="365" customWidth="1"/>
    <col min="15117" max="15120" width="3.28515625" style="365" customWidth="1"/>
    <col min="15121" max="15121" width="4.140625" style="365" customWidth="1"/>
    <col min="15122" max="15334" width="10.28515625" style="365"/>
    <col min="15335" max="15343" width="9.140625" style="365" customWidth="1"/>
    <col min="15344" max="15344" width="1" style="365" customWidth="1"/>
    <col min="15345" max="15348" width="3.28515625" style="365" customWidth="1"/>
    <col min="15349" max="15349" width="1.85546875" style="365" customWidth="1"/>
    <col min="15350" max="15350" width="17.85546875" style="365" customWidth="1"/>
    <col min="15351" max="15351" width="1.85546875" style="365" customWidth="1"/>
    <col min="15352" max="15355" width="3.28515625" style="365" customWidth="1"/>
    <col min="15356" max="15356" width="1.85546875" style="365" customWidth="1"/>
    <col min="15357" max="15357" width="12.42578125" style="365" customWidth="1"/>
    <col min="15358" max="15358" width="1.85546875" style="365" customWidth="1"/>
    <col min="15359" max="15361" width="3" style="365" customWidth="1"/>
    <col min="15362" max="15362" width="4.42578125" style="365" customWidth="1"/>
    <col min="15363" max="15364" width="3" style="365" customWidth="1"/>
    <col min="15365" max="15370" width="3.28515625" style="365" customWidth="1"/>
    <col min="15371" max="15372" width="9.140625" style="365" customWidth="1"/>
    <col min="15373" max="15376" width="3.28515625" style="365" customWidth="1"/>
    <col min="15377" max="15377" width="4.140625" style="365" customWidth="1"/>
    <col min="15378" max="15590" width="10.28515625" style="365"/>
    <col min="15591" max="15599" width="9.140625" style="365" customWidth="1"/>
    <col min="15600" max="15600" width="1" style="365" customWidth="1"/>
    <col min="15601" max="15604" width="3.28515625" style="365" customWidth="1"/>
    <col min="15605" max="15605" width="1.85546875" style="365" customWidth="1"/>
    <col min="15606" max="15606" width="17.85546875" style="365" customWidth="1"/>
    <col min="15607" max="15607" width="1.85546875" style="365" customWidth="1"/>
    <col min="15608" max="15611" width="3.28515625" style="365" customWidth="1"/>
    <col min="15612" max="15612" width="1.85546875" style="365" customWidth="1"/>
    <col min="15613" max="15613" width="12.42578125" style="365" customWidth="1"/>
    <col min="15614" max="15614" width="1.85546875" style="365" customWidth="1"/>
    <col min="15615" max="15617" width="3" style="365" customWidth="1"/>
    <col min="15618" max="15618" width="4.42578125" style="365" customWidth="1"/>
    <col min="15619" max="15620" width="3" style="365" customWidth="1"/>
    <col min="15621" max="15626" width="3.28515625" style="365" customWidth="1"/>
    <col min="15627" max="15628" width="9.140625" style="365" customWidth="1"/>
    <col min="15629" max="15632" width="3.28515625" style="365" customWidth="1"/>
    <col min="15633" max="15633" width="4.140625" style="365" customWidth="1"/>
    <col min="15634" max="15846" width="10.28515625" style="365"/>
    <col min="15847" max="15855" width="9.140625" style="365" customWidth="1"/>
    <col min="15856" max="15856" width="1" style="365" customWidth="1"/>
    <col min="15857" max="15860" width="3.28515625" style="365" customWidth="1"/>
    <col min="15861" max="15861" width="1.85546875" style="365" customWidth="1"/>
    <col min="15862" max="15862" width="17.85546875" style="365" customWidth="1"/>
    <col min="15863" max="15863" width="1.85546875" style="365" customWidth="1"/>
    <col min="15864" max="15867" width="3.28515625" style="365" customWidth="1"/>
    <col min="15868" max="15868" width="1.85546875" style="365" customWidth="1"/>
    <col min="15869" max="15869" width="12.42578125" style="365" customWidth="1"/>
    <col min="15870" max="15870" width="1.85546875" style="365" customWidth="1"/>
    <col min="15871" max="15873" width="3" style="365" customWidth="1"/>
    <col min="15874" max="15874" width="4.42578125" style="365" customWidth="1"/>
    <col min="15875" max="15876" width="3" style="365" customWidth="1"/>
    <col min="15877" max="15882" width="3.28515625" style="365" customWidth="1"/>
    <col min="15883" max="15884" width="9.140625" style="365" customWidth="1"/>
    <col min="15885" max="15888" width="3.28515625" style="365" customWidth="1"/>
    <col min="15889" max="15889" width="4.140625" style="365" customWidth="1"/>
    <col min="15890" max="16102" width="10.28515625" style="365"/>
    <col min="16103" max="16111" width="9.140625" style="365" customWidth="1"/>
    <col min="16112" max="16112" width="1" style="365" customWidth="1"/>
    <col min="16113" max="16116" width="3.28515625" style="365" customWidth="1"/>
    <col min="16117" max="16117" width="1.85546875" style="365" customWidth="1"/>
    <col min="16118" max="16118" width="17.85546875" style="365" customWidth="1"/>
    <col min="16119" max="16119" width="1.85546875" style="365" customWidth="1"/>
    <col min="16120" max="16123" width="3.28515625" style="365" customWidth="1"/>
    <col min="16124" max="16124" width="1.85546875" style="365" customWidth="1"/>
    <col min="16125" max="16125" width="12.42578125" style="365" customWidth="1"/>
    <col min="16126" max="16126" width="1.85546875" style="365" customWidth="1"/>
    <col min="16127" max="16129" width="3" style="365" customWidth="1"/>
    <col min="16130" max="16130" width="4.42578125" style="365" customWidth="1"/>
    <col min="16131" max="16132" width="3" style="365" customWidth="1"/>
    <col min="16133" max="16138" width="3.28515625" style="365" customWidth="1"/>
    <col min="16139" max="16140" width="9.140625" style="365" customWidth="1"/>
    <col min="16141" max="16144" width="3.28515625" style="365" customWidth="1"/>
    <col min="16145" max="16145" width="4.140625" style="365" customWidth="1"/>
    <col min="16146" max="16384" width="10.28515625" style="365"/>
  </cols>
  <sheetData>
    <row r="1" spans="1:30" ht="15" customHeight="1">
      <c r="A1" s="362" t="s">
        <v>3776</v>
      </c>
      <c r="C1" s="33"/>
      <c r="D1" s="364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Y1" s="366" t="s">
        <v>275</v>
      </c>
      <c r="Z1" s="367"/>
      <c r="AA1" s="367"/>
      <c r="AB1" s="368"/>
      <c r="AD1" s="365"/>
    </row>
    <row r="2" spans="1:30" ht="15.95" customHeight="1" thickBot="1">
      <c r="A2" s="363"/>
      <c r="C2" s="33"/>
      <c r="D2" s="364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Y2" s="370"/>
      <c r="Z2" s="371"/>
      <c r="AA2" s="371"/>
      <c r="AB2" s="372"/>
      <c r="AD2" s="365"/>
    </row>
    <row r="3" spans="1:30">
      <c r="A3" s="373" t="s">
        <v>3777</v>
      </c>
      <c r="C3" s="33"/>
      <c r="D3" s="364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AD3" s="365"/>
    </row>
    <row r="4" spans="1:30">
      <c r="A4" s="373" t="s">
        <v>3778</v>
      </c>
      <c r="C4" s="33"/>
      <c r="D4" s="364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AD4" s="365"/>
    </row>
    <row r="5" spans="1:30">
      <c r="A5" s="363"/>
      <c r="C5" s="33"/>
      <c r="D5" s="364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AD5" s="365"/>
    </row>
    <row r="6" spans="1:30" ht="76.5" customHeight="1">
      <c r="A6" s="374" t="s">
        <v>5611</v>
      </c>
      <c r="C6" s="375"/>
      <c r="D6" s="376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378"/>
      <c r="AD6" s="379"/>
    </row>
    <row r="7" spans="1:30" ht="21" customHeight="1" thickBot="1">
      <c r="A7" s="380"/>
      <c r="B7" s="47"/>
      <c r="C7" s="47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78"/>
      <c r="AD7" s="379"/>
    </row>
    <row r="8" spans="1:30" ht="18.75" thickBot="1">
      <c r="A8" s="383" t="s">
        <v>3779</v>
      </c>
      <c r="B8" s="384"/>
      <c r="C8" s="385"/>
      <c r="D8" s="386"/>
      <c r="E8" s="386"/>
      <c r="F8" s="386"/>
      <c r="G8" s="386"/>
      <c r="H8" s="386"/>
      <c r="I8" s="387"/>
      <c r="J8" s="382"/>
      <c r="K8" s="388" t="s">
        <v>3780</v>
      </c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7"/>
      <c r="AC8" s="378"/>
      <c r="AD8" s="379"/>
    </row>
    <row r="9" spans="1:30">
      <c r="A9" s="389"/>
      <c r="B9" s="390"/>
      <c r="C9" s="391"/>
      <c r="D9" s="392"/>
      <c r="E9" s="392"/>
      <c r="F9" s="392"/>
      <c r="G9" s="392"/>
      <c r="H9" s="392"/>
      <c r="I9" s="393"/>
      <c r="J9" s="382"/>
      <c r="K9" s="394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3"/>
      <c r="AC9" s="378"/>
      <c r="AD9" s="379"/>
    </row>
    <row r="10" spans="1:30">
      <c r="A10" s="395" t="s">
        <v>3781</v>
      </c>
      <c r="B10" s="490" t="s">
        <v>4922</v>
      </c>
      <c r="C10" s="396" t="s">
        <v>5951</v>
      </c>
      <c r="D10" s="380" t="s">
        <v>3782</v>
      </c>
      <c r="E10" s="397"/>
      <c r="F10" s="397">
        <v>2</v>
      </c>
      <c r="G10" s="397">
        <v>0</v>
      </c>
      <c r="H10" s="397">
        <v>1</v>
      </c>
      <c r="I10" s="398"/>
      <c r="J10" s="382"/>
      <c r="K10" s="399" t="s">
        <v>5612</v>
      </c>
      <c r="L10" s="400" t="s">
        <v>5613</v>
      </c>
      <c r="M10" s="400"/>
      <c r="N10" s="400"/>
      <c r="O10" s="400"/>
      <c r="P10" s="380"/>
      <c r="Q10" s="380"/>
      <c r="R10" s="397">
        <f>'CE MINISTERIALE 2019'!R10</f>
        <v>2</v>
      </c>
      <c r="S10" s="397">
        <f>'CE MINISTERIALE 2019'!S10</f>
        <v>0</v>
      </c>
      <c r="T10" s="397">
        <f>'CE MINISTERIALE 2019'!T10</f>
        <v>2</v>
      </c>
      <c r="U10" s="397">
        <f>'CE MINISTERIALE 2019'!U10</f>
        <v>0</v>
      </c>
      <c r="V10" s="380"/>
      <c r="W10" s="380"/>
      <c r="X10" s="380"/>
      <c r="Y10" s="380"/>
      <c r="Z10" s="380"/>
      <c r="AA10" s="380"/>
      <c r="AB10" s="398"/>
      <c r="AC10" s="378"/>
      <c r="AD10" s="379"/>
    </row>
    <row r="11" spans="1:30">
      <c r="A11" s="395"/>
      <c r="B11" s="48"/>
      <c r="C11" s="401"/>
      <c r="D11" s="380"/>
      <c r="E11" s="380"/>
      <c r="F11" s="380"/>
      <c r="G11" s="380"/>
      <c r="H11" s="380"/>
      <c r="I11" s="398"/>
      <c r="J11" s="382"/>
      <c r="K11" s="402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398"/>
      <c r="AC11" s="378"/>
      <c r="AD11" s="379"/>
    </row>
    <row r="12" spans="1:30">
      <c r="A12" s="395"/>
      <c r="B12" s="48"/>
      <c r="C12" s="401"/>
      <c r="D12" s="380"/>
      <c r="E12" s="380"/>
      <c r="F12" s="380"/>
      <c r="G12" s="380"/>
      <c r="H12" s="380"/>
      <c r="I12" s="398"/>
      <c r="J12" s="382"/>
      <c r="K12" s="399" t="s">
        <v>5614</v>
      </c>
      <c r="L12" s="400"/>
      <c r="M12" s="400"/>
      <c r="N12" s="400"/>
      <c r="O12" s="400"/>
      <c r="P12" s="400"/>
      <c r="Q12" s="380">
        <v>1</v>
      </c>
      <c r="R12" s="397">
        <f>'CE MINISTERIALE 2019'!R12</f>
        <v>0</v>
      </c>
      <c r="S12" s="380"/>
      <c r="T12" s="380">
        <v>2</v>
      </c>
      <c r="U12" s="397">
        <f>'CE MINISTERIALE 2019'!U12</f>
        <v>0</v>
      </c>
      <c r="V12" s="380"/>
      <c r="W12" s="380">
        <v>3</v>
      </c>
      <c r="X12" s="397">
        <f>'CE MINISTERIALE 2019'!X12</f>
        <v>0</v>
      </c>
      <c r="Y12" s="380"/>
      <c r="Z12" s="380">
        <v>4</v>
      </c>
      <c r="AA12" s="397">
        <f>'CE MINISTERIALE 2019'!AA12</f>
        <v>0</v>
      </c>
      <c r="AB12" s="398"/>
      <c r="AC12" s="378"/>
      <c r="AD12" s="379"/>
    </row>
    <row r="13" spans="1:30">
      <c r="A13" s="395"/>
      <c r="B13" s="48"/>
      <c r="C13" s="401"/>
      <c r="D13" s="380"/>
      <c r="E13" s="380"/>
      <c r="F13" s="380"/>
      <c r="G13" s="380"/>
      <c r="H13" s="380"/>
      <c r="I13" s="398"/>
      <c r="J13" s="382"/>
      <c r="K13" s="402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98"/>
      <c r="AC13" s="378"/>
      <c r="AD13" s="379"/>
    </row>
    <row r="14" spans="1:30">
      <c r="A14" s="395"/>
      <c r="B14" s="48"/>
      <c r="C14" s="401"/>
      <c r="D14" s="380"/>
      <c r="E14" s="380"/>
      <c r="F14" s="380"/>
      <c r="G14" s="380"/>
      <c r="H14" s="380"/>
      <c r="I14" s="398"/>
      <c r="J14" s="382"/>
      <c r="K14" s="399" t="s">
        <v>3783</v>
      </c>
      <c r="L14" s="400"/>
      <c r="M14" s="400"/>
      <c r="N14" s="400"/>
      <c r="O14" s="400"/>
      <c r="P14" s="400"/>
      <c r="Q14" s="380"/>
      <c r="R14" s="397" t="str">
        <f>'CE MINISTERIALE 2019'!R14</f>
        <v>X</v>
      </c>
      <c r="S14" s="380"/>
      <c r="T14" s="380"/>
      <c r="U14" s="380"/>
      <c r="V14" s="400"/>
      <c r="W14" s="400"/>
      <c r="X14" s="400"/>
      <c r="Y14" s="403" t="s">
        <v>3784</v>
      </c>
      <c r="Z14" s="380"/>
      <c r="AA14" s="397">
        <f>'CE MINISTERIALE 2019'!AA14</f>
        <v>0</v>
      </c>
      <c r="AB14" s="398"/>
      <c r="AC14" s="378"/>
      <c r="AD14" s="379"/>
    </row>
    <row r="15" spans="1:30" ht="18.75" thickBot="1">
      <c r="A15" s="404"/>
      <c r="B15" s="405"/>
      <c r="C15" s="406"/>
      <c r="D15" s="407"/>
      <c r="E15" s="407"/>
      <c r="F15" s="407"/>
      <c r="G15" s="407"/>
      <c r="H15" s="407"/>
      <c r="I15" s="408"/>
      <c r="J15" s="382"/>
      <c r="K15" s="409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8"/>
      <c r="AC15" s="378"/>
      <c r="AD15" s="379"/>
    </row>
    <row r="16" spans="1:30">
      <c r="B16" s="48"/>
      <c r="C16" s="48"/>
      <c r="D16" s="401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380"/>
      <c r="AB16" s="380"/>
      <c r="AC16" s="378"/>
      <c r="AD16" s="379"/>
    </row>
    <row r="17" spans="1:30" ht="18.75" thickBot="1">
      <c r="B17" s="48"/>
      <c r="C17" s="48"/>
      <c r="D17" s="401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78"/>
      <c r="AD17" s="379"/>
    </row>
    <row r="18" spans="1:30" ht="15.95" customHeight="1" thickBot="1">
      <c r="A18" s="661" t="s">
        <v>3785</v>
      </c>
      <c r="B18" s="662"/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/>
      <c r="Y18" s="662"/>
      <c r="Z18" s="662"/>
      <c r="AA18" s="662"/>
      <c r="AB18" s="663"/>
      <c r="AC18" s="378"/>
      <c r="AD18" s="379"/>
    </row>
    <row r="19" spans="1:30">
      <c r="A19" s="410"/>
      <c r="B19" s="411"/>
      <c r="C19" s="411"/>
      <c r="D19" s="412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  <c r="W19" s="413"/>
      <c r="X19" s="413"/>
      <c r="Y19" s="413"/>
      <c r="Z19" s="413"/>
      <c r="AA19" s="413"/>
      <c r="AB19" s="414"/>
      <c r="AC19" s="378"/>
      <c r="AD19" s="379"/>
    </row>
    <row r="20" spans="1:30">
      <c r="A20" s="415"/>
      <c r="B20" s="48"/>
      <c r="C20" s="48"/>
      <c r="D20" s="401"/>
      <c r="E20" s="380"/>
      <c r="F20" s="380"/>
      <c r="G20" s="403"/>
      <c r="H20" s="403" t="s">
        <v>5615</v>
      </c>
      <c r="I20" s="397" t="str">
        <f>'CE MINISTERIALE 2019'!I20</f>
        <v>X</v>
      </c>
      <c r="J20" s="380"/>
      <c r="K20" s="403" t="s">
        <v>3786</v>
      </c>
      <c r="L20" s="397">
        <f>'CE MINISTERIALE 2019'!L20</f>
        <v>0</v>
      </c>
      <c r="M20" s="416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98"/>
      <c r="AC20" s="378"/>
      <c r="AD20" s="379"/>
    </row>
    <row r="21" spans="1:30" ht="18.75" thickBot="1">
      <c r="A21" s="417"/>
      <c r="B21" s="405"/>
      <c r="C21" s="405"/>
      <c r="D21" s="406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7"/>
      <c r="Q21" s="407"/>
      <c r="R21" s="407"/>
      <c r="S21" s="407"/>
      <c r="T21" s="407"/>
      <c r="U21" s="407"/>
      <c r="V21" s="407"/>
      <c r="W21" s="407"/>
      <c r="X21" s="407"/>
      <c r="Y21" s="407"/>
      <c r="Z21" s="407"/>
      <c r="AA21" s="407"/>
      <c r="AB21" s="408"/>
      <c r="AC21" s="378"/>
      <c r="AD21" s="379"/>
    </row>
    <row r="22" spans="1:30">
      <c r="B22" s="48"/>
      <c r="C22" s="48"/>
      <c r="D22" s="401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0"/>
      <c r="AC22" s="378"/>
      <c r="AD22" s="379"/>
    </row>
    <row r="23" spans="1:30">
      <c r="A23" s="380"/>
      <c r="B23" s="48"/>
      <c r="C23" s="48"/>
      <c r="D23" s="401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78"/>
      <c r="AD23" s="379"/>
    </row>
    <row r="24" spans="1:30" s="420" customFormat="1" ht="22.5" customHeight="1" thickBot="1">
      <c r="A24" s="418"/>
      <c r="B24" s="419"/>
      <c r="C24" s="419"/>
      <c r="D24" s="406" t="s">
        <v>5616</v>
      </c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Y24" s="421"/>
      <c r="Z24" s="421"/>
      <c r="AA24" s="421"/>
      <c r="AB24" s="421"/>
      <c r="AC24" s="422"/>
      <c r="AD24" s="423"/>
    </row>
    <row r="25" spans="1:30" s="420" customFormat="1" ht="25.5" customHeight="1" thickBot="1">
      <c r="A25" s="674" t="s">
        <v>287</v>
      </c>
      <c r="B25" s="424" t="s">
        <v>3787</v>
      </c>
      <c r="C25" s="425" t="s">
        <v>5617</v>
      </c>
      <c r="D25" s="426" t="s">
        <v>3788</v>
      </c>
      <c r="E25" s="369"/>
      <c r="F25" s="427"/>
      <c r="G25" s="427"/>
      <c r="H25" s="427"/>
      <c r="I25" s="427"/>
      <c r="J25" s="429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8"/>
      <c r="Y25" s="429"/>
      <c r="Z25" s="429"/>
      <c r="AA25" s="429"/>
      <c r="AB25" s="429"/>
      <c r="AD25" s="423"/>
    </row>
    <row r="26" spans="1:30" s="435" customFormat="1" ht="24.95" customHeight="1">
      <c r="A26" s="675"/>
      <c r="B26" s="430"/>
      <c r="C26" s="431" t="s">
        <v>3789</v>
      </c>
      <c r="D26" s="432">
        <f>'CE MINISTERIALE 2019'!D26</f>
        <v>0</v>
      </c>
      <c r="E26" s="433"/>
      <c r="F26" s="434"/>
    </row>
    <row r="27" spans="1:30" s="441" customFormat="1" ht="24.95" customHeight="1">
      <c r="A27" s="456"/>
      <c r="B27" s="436" t="s">
        <v>291</v>
      </c>
      <c r="C27" s="437" t="s">
        <v>3790</v>
      </c>
      <c r="D27" s="438">
        <f>'CE MINISTERIALE 2019'!D27</f>
        <v>1252767942.5699999</v>
      </c>
      <c r="E27" s="439"/>
      <c r="F27" s="440"/>
      <c r="J27" s="435"/>
    </row>
    <row r="28" spans="1:30" s="445" customFormat="1" ht="24.95" customHeight="1">
      <c r="A28" s="676"/>
      <c r="B28" s="442" t="s">
        <v>293</v>
      </c>
      <c r="C28" s="443" t="s">
        <v>5618</v>
      </c>
      <c r="D28" s="438">
        <f>'CE MINISTERIALE 2019'!D28</f>
        <v>1203982641.27</v>
      </c>
      <c r="E28" s="444"/>
      <c r="F28" s="440"/>
      <c r="G28" s="441"/>
      <c r="H28" s="441"/>
      <c r="J28" s="435"/>
      <c r="L28" s="441"/>
    </row>
    <row r="29" spans="1:30" s="448" customFormat="1" ht="24.95" customHeight="1">
      <c r="A29" s="456"/>
      <c r="B29" s="446" t="s">
        <v>295</v>
      </c>
      <c r="C29" s="447" t="s">
        <v>5619</v>
      </c>
      <c r="D29" s="438">
        <f>'CE MINISTERIALE 2019'!D29</f>
        <v>1199805141.27</v>
      </c>
      <c r="E29" s="422"/>
      <c r="F29" s="440"/>
      <c r="G29" s="441"/>
      <c r="H29" s="441"/>
      <c r="J29" s="435"/>
      <c r="L29" s="441"/>
    </row>
    <row r="30" spans="1:30" s="448" customFormat="1" ht="24.95" customHeight="1">
      <c r="A30" s="456"/>
      <c r="B30" s="449" t="s">
        <v>4657</v>
      </c>
      <c r="C30" s="450" t="s">
        <v>5620</v>
      </c>
      <c r="D30" s="491">
        <f>'CE MINISTERIALE 2019'!D30</f>
        <v>1194302141.27</v>
      </c>
      <c r="E30" s="422"/>
      <c r="F30" s="423"/>
      <c r="G30" s="441"/>
      <c r="H30" s="441"/>
      <c r="J30" s="435"/>
      <c r="L30" s="441"/>
    </row>
    <row r="31" spans="1:30" s="448" customFormat="1" ht="24.95" customHeight="1">
      <c r="A31" s="456"/>
      <c r="B31" s="449" t="s">
        <v>4659</v>
      </c>
      <c r="C31" s="450" t="s">
        <v>5621</v>
      </c>
      <c r="D31" s="491">
        <f>'CE MINISTERIALE 2019'!D31</f>
        <v>5503000</v>
      </c>
      <c r="E31" s="422"/>
      <c r="F31" s="423"/>
      <c r="G31" s="441"/>
      <c r="H31" s="441"/>
      <c r="J31" s="435"/>
      <c r="L31" s="441"/>
    </row>
    <row r="32" spans="1:30" s="448" customFormat="1" ht="24.95" customHeight="1">
      <c r="A32" s="456"/>
      <c r="B32" s="451" t="s">
        <v>4661</v>
      </c>
      <c r="C32" s="452" t="s">
        <v>5622</v>
      </c>
      <c r="D32" s="438">
        <f>'CE MINISTERIALE 2019'!D32</f>
        <v>0</v>
      </c>
      <c r="E32" s="422"/>
      <c r="F32" s="423"/>
      <c r="G32" s="441"/>
      <c r="H32" s="441"/>
      <c r="J32" s="435"/>
      <c r="L32" s="441"/>
    </row>
    <row r="33" spans="1:12" s="448" customFormat="1" ht="24.95" customHeight="1">
      <c r="A33" s="456"/>
      <c r="B33" s="451" t="s">
        <v>4663</v>
      </c>
      <c r="C33" s="452" t="s">
        <v>5623</v>
      </c>
      <c r="D33" s="491">
        <f>'CE MINISTERIALE 2019'!D33</f>
        <v>0</v>
      </c>
      <c r="E33" s="422"/>
      <c r="F33" s="423"/>
      <c r="G33" s="441"/>
      <c r="H33" s="441"/>
      <c r="J33" s="435"/>
      <c r="L33" s="441"/>
    </row>
    <row r="34" spans="1:12" s="448" customFormat="1" ht="24.95" customHeight="1">
      <c r="A34" s="456"/>
      <c r="B34" s="451" t="s">
        <v>4665</v>
      </c>
      <c r="C34" s="452" t="s">
        <v>5624</v>
      </c>
      <c r="D34" s="491">
        <f>'CE MINISTERIALE 2019'!D34</f>
        <v>0</v>
      </c>
      <c r="E34" s="422"/>
      <c r="F34" s="423"/>
      <c r="G34" s="441"/>
      <c r="H34" s="441"/>
      <c r="J34" s="435"/>
      <c r="L34" s="441"/>
    </row>
    <row r="35" spans="1:12" s="448" customFormat="1" ht="24.95" customHeight="1">
      <c r="A35" s="456"/>
      <c r="B35" s="449" t="s">
        <v>4667</v>
      </c>
      <c r="C35" s="450" t="s">
        <v>5625</v>
      </c>
      <c r="D35" s="491">
        <f>'CE MINISTERIALE 2019'!D35</f>
        <v>0</v>
      </c>
      <c r="E35" s="422"/>
      <c r="F35" s="423"/>
      <c r="G35" s="441"/>
      <c r="H35" s="441"/>
      <c r="J35" s="435"/>
      <c r="L35" s="441"/>
    </row>
    <row r="36" spans="1:12" s="448" customFormat="1" ht="24.95" customHeight="1">
      <c r="A36" s="456"/>
      <c r="B36" s="446" t="s">
        <v>297</v>
      </c>
      <c r="C36" s="447" t="s">
        <v>5626</v>
      </c>
      <c r="D36" s="491">
        <f>'CE MINISTERIALE 2019'!D36</f>
        <v>4177500</v>
      </c>
      <c r="E36" s="422"/>
      <c r="F36" s="423"/>
      <c r="G36" s="441"/>
      <c r="H36" s="441"/>
      <c r="J36" s="435"/>
      <c r="L36" s="441"/>
    </row>
    <row r="37" spans="1:12" s="448" customFormat="1" ht="24.95" customHeight="1">
      <c r="A37" s="456"/>
      <c r="B37" s="442" t="s">
        <v>299</v>
      </c>
      <c r="C37" s="443" t="s">
        <v>3791</v>
      </c>
      <c r="D37" s="438">
        <f>'CE MINISTERIALE 2019'!D37</f>
        <v>48288000</v>
      </c>
      <c r="E37" s="422"/>
      <c r="F37" s="440"/>
      <c r="G37" s="441"/>
      <c r="H37" s="441"/>
      <c r="J37" s="435"/>
      <c r="L37" s="441"/>
    </row>
    <row r="38" spans="1:12" s="448" customFormat="1" ht="24.95" customHeight="1">
      <c r="A38" s="456"/>
      <c r="B38" s="446" t="s">
        <v>301</v>
      </c>
      <c r="C38" s="447" t="s">
        <v>5627</v>
      </c>
      <c r="D38" s="438">
        <f>'CE MINISTERIALE 2019'!D38</f>
        <v>48288000</v>
      </c>
      <c r="E38" s="422"/>
      <c r="F38" s="440"/>
      <c r="G38" s="441"/>
      <c r="H38" s="441"/>
      <c r="J38" s="435"/>
      <c r="L38" s="441"/>
    </row>
    <row r="39" spans="1:12" s="448" customFormat="1" ht="24.95" customHeight="1">
      <c r="A39" s="456"/>
      <c r="B39" s="449" t="s">
        <v>303</v>
      </c>
      <c r="C39" s="450" t="s">
        <v>5628</v>
      </c>
      <c r="D39" s="491">
        <f>'CE MINISTERIALE 2019'!D39</f>
        <v>0</v>
      </c>
      <c r="E39" s="422"/>
      <c r="F39" s="423"/>
      <c r="G39" s="441"/>
      <c r="H39" s="441"/>
      <c r="J39" s="435"/>
      <c r="L39" s="441"/>
    </row>
    <row r="40" spans="1:12" s="448" customFormat="1" ht="24.95" customHeight="1">
      <c r="A40" s="456"/>
      <c r="B40" s="449" t="s">
        <v>305</v>
      </c>
      <c r="C40" s="450" t="s">
        <v>5629</v>
      </c>
      <c r="D40" s="491">
        <f>'CE MINISTERIALE 2019'!D40</f>
        <v>0</v>
      </c>
      <c r="E40" s="422"/>
      <c r="F40" s="423"/>
      <c r="G40" s="441"/>
      <c r="H40" s="441"/>
      <c r="J40" s="435"/>
      <c r="L40" s="441"/>
    </row>
    <row r="41" spans="1:12" s="448" customFormat="1" ht="24.95" customHeight="1">
      <c r="A41" s="456"/>
      <c r="B41" s="449" t="s">
        <v>307</v>
      </c>
      <c r="C41" s="450" t="s">
        <v>5630</v>
      </c>
      <c r="D41" s="491">
        <f>'CE MINISTERIALE 2019'!D41</f>
        <v>48288000</v>
      </c>
      <c r="E41" s="422"/>
      <c r="F41" s="423"/>
      <c r="G41" s="441"/>
      <c r="H41" s="441"/>
      <c r="J41" s="435"/>
      <c r="L41" s="441"/>
    </row>
    <row r="42" spans="1:12" s="448" customFormat="1" ht="24.95" customHeight="1">
      <c r="A42" s="456"/>
      <c r="B42" s="449" t="s">
        <v>309</v>
      </c>
      <c r="C42" s="450" t="s">
        <v>3792</v>
      </c>
      <c r="D42" s="491">
        <f>'CE MINISTERIALE 2019'!D42</f>
        <v>0</v>
      </c>
      <c r="E42" s="422"/>
      <c r="F42" s="423"/>
      <c r="G42" s="441"/>
      <c r="H42" s="441"/>
      <c r="J42" s="435"/>
      <c r="L42" s="441"/>
    </row>
    <row r="43" spans="1:12" s="448" customFormat="1" ht="24.95" customHeight="1">
      <c r="A43" s="456"/>
      <c r="B43" s="446" t="s">
        <v>3188</v>
      </c>
      <c r="C43" s="447" t="s">
        <v>3793</v>
      </c>
      <c r="D43" s="438">
        <f>'CE MINISTERIALE 2019'!D43</f>
        <v>0</v>
      </c>
      <c r="E43" s="422"/>
      <c r="F43" s="440"/>
      <c r="G43" s="441"/>
      <c r="H43" s="441"/>
      <c r="J43" s="435"/>
      <c r="L43" s="441"/>
    </row>
    <row r="44" spans="1:12" s="448" customFormat="1" ht="24.95" customHeight="1">
      <c r="A44" s="456" t="s">
        <v>312</v>
      </c>
      <c r="B44" s="449" t="s">
        <v>3192</v>
      </c>
      <c r="C44" s="450" t="s">
        <v>5631</v>
      </c>
      <c r="D44" s="491">
        <f>'CE MINISTERIALE 2019'!D44</f>
        <v>0</v>
      </c>
      <c r="E44" s="422"/>
      <c r="F44" s="423"/>
      <c r="G44" s="441"/>
      <c r="H44" s="441"/>
      <c r="J44" s="435"/>
      <c r="L44" s="441"/>
    </row>
    <row r="45" spans="1:12" s="448" customFormat="1" ht="24.95" customHeight="1">
      <c r="A45" s="456" t="s">
        <v>312</v>
      </c>
      <c r="B45" s="449" t="s">
        <v>314</v>
      </c>
      <c r="C45" s="450" t="s">
        <v>3794</v>
      </c>
      <c r="D45" s="491">
        <f>'CE MINISTERIALE 2019'!D45</f>
        <v>0</v>
      </c>
      <c r="E45" s="422"/>
      <c r="F45" s="423"/>
      <c r="G45" s="441"/>
      <c r="H45" s="441"/>
      <c r="J45" s="435"/>
      <c r="L45" s="441"/>
    </row>
    <row r="46" spans="1:12" s="423" customFormat="1" ht="24.95" customHeight="1">
      <c r="A46" s="453"/>
      <c r="B46" s="446" t="s">
        <v>316</v>
      </c>
      <c r="C46" s="447" t="s">
        <v>3795</v>
      </c>
      <c r="D46" s="438">
        <f>'CE MINISTERIALE 2019'!D46</f>
        <v>0</v>
      </c>
      <c r="E46" s="422"/>
      <c r="F46" s="440"/>
      <c r="G46" s="441"/>
      <c r="H46" s="441"/>
      <c r="J46" s="435"/>
      <c r="L46" s="441"/>
    </row>
    <row r="47" spans="1:12" s="423" customFormat="1" ht="24.95" customHeight="1">
      <c r="A47" s="453"/>
      <c r="B47" s="449" t="s">
        <v>4670</v>
      </c>
      <c r="C47" s="450" t="s">
        <v>5632</v>
      </c>
      <c r="D47" s="491">
        <f>'CE MINISTERIALE 2019'!D47</f>
        <v>0</v>
      </c>
      <c r="E47" s="422"/>
      <c r="G47" s="441"/>
      <c r="H47" s="441"/>
      <c r="J47" s="435"/>
      <c r="L47" s="441"/>
    </row>
    <row r="48" spans="1:12" s="423" customFormat="1" ht="24.95" customHeight="1">
      <c r="A48" s="453"/>
      <c r="B48" s="449" t="s">
        <v>317</v>
      </c>
      <c r="C48" s="450" t="s">
        <v>5633</v>
      </c>
      <c r="D48" s="491">
        <f>'CE MINISTERIALE 2019'!D48</f>
        <v>0</v>
      </c>
      <c r="E48" s="422"/>
      <c r="G48" s="441"/>
      <c r="H48" s="441"/>
      <c r="J48" s="435"/>
      <c r="L48" s="441"/>
    </row>
    <row r="49" spans="1:12" s="423" customFormat="1" ht="24.95" customHeight="1">
      <c r="A49" s="453"/>
      <c r="B49" s="449" t="s">
        <v>318</v>
      </c>
      <c r="C49" s="450" t="s">
        <v>5634</v>
      </c>
      <c r="D49" s="491">
        <f>'CE MINISTERIALE 2019'!D49</f>
        <v>0</v>
      </c>
      <c r="E49" s="422"/>
      <c r="G49" s="441"/>
      <c r="H49" s="441"/>
      <c r="J49" s="435"/>
      <c r="L49" s="441"/>
    </row>
    <row r="50" spans="1:12" s="423" customFormat="1" ht="24.95" customHeight="1">
      <c r="A50" s="453"/>
      <c r="B50" s="449" t="s">
        <v>319</v>
      </c>
      <c r="C50" s="450" t="s">
        <v>5635</v>
      </c>
      <c r="D50" s="491">
        <f>'CE MINISTERIALE 2019'!D50</f>
        <v>0</v>
      </c>
      <c r="E50" s="422"/>
      <c r="G50" s="441"/>
      <c r="H50" s="441"/>
      <c r="J50" s="435"/>
      <c r="L50" s="441"/>
    </row>
    <row r="51" spans="1:12" s="423" customFormat="1" ht="25.15" customHeight="1">
      <c r="A51" s="453"/>
      <c r="B51" s="449" t="s">
        <v>4675</v>
      </c>
      <c r="C51" s="450" t="s">
        <v>5636</v>
      </c>
      <c r="D51" s="491">
        <f>'CE MINISTERIALE 2019'!D51</f>
        <v>0</v>
      </c>
      <c r="E51" s="422"/>
      <c r="G51" s="441"/>
      <c r="H51" s="441"/>
      <c r="J51" s="435"/>
      <c r="L51" s="441"/>
    </row>
    <row r="52" spans="1:12" s="448" customFormat="1" ht="24.95" customHeight="1">
      <c r="A52" s="456"/>
      <c r="B52" s="442" t="s">
        <v>320</v>
      </c>
      <c r="C52" s="443" t="s">
        <v>5637</v>
      </c>
      <c r="D52" s="438">
        <f>'CE MINISTERIALE 2019'!D52</f>
        <v>497301.3</v>
      </c>
      <c r="E52" s="422"/>
      <c r="F52" s="440"/>
      <c r="G52" s="441"/>
      <c r="H52" s="441"/>
      <c r="J52" s="435"/>
      <c r="L52" s="441"/>
    </row>
    <row r="53" spans="1:12" s="448" customFormat="1" ht="24.95" customHeight="1">
      <c r="A53" s="456"/>
      <c r="B53" s="446" t="s">
        <v>322</v>
      </c>
      <c r="C53" s="447" t="s">
        <v>3796</v>
      </c>
      <c r="D53" s="491">
        <f>'CE MINISTERIALE 2019'!D53</f>
        <v>0</v>
      </c>
      <c r="E53" s="422"/>
      <c r="F53" s="423"/>
      <c r="G53" s="441"/>
      <c r="H53" s="441"/>
      <c r="J53" s="435"/>
      <c r="L53" s="441"/>
    </row>
    <row r="54" spans="1:12" s="448" customFormat="1" ht="24.95" customHeight="1">
      <c r="A54" s="456"/>
      <c r="B54" s="446" t="s">
        <v>86</v>
      </c>
      <c r="C54" s="447" t="s">
        <v>3797</v>
      </c>
      <c r="D54" s="491">
        <f>'CE MINISTERIALE 2019'!D54</f>
        <v>47301.3</v>
      </c>
      <c r="E54" s="422"/>
      <c r="F54" s="423"/>
      <c r="G54" s="441"/>
      <c r="H54" s="441"/>
      <c r="J54" s="435"/>
      <c r="L54" s="441"/>
    </row>
    <row r="55" spans="1:12" s="448" customFormat="1" ht="24.95" customHeight="1">
      <c r="A55" s="456"/>
      <c r="B55" s="446" t="s">
        <v>88</v>
      </c>
      <c r="C55" s="447" t="s">
        <v>3798</v>
      </c>
      <c r="D55" s="491">
        <f>'CE MINISTERIALE 2019'!D55</f>
        <v>450000</v>
      </c>
      <c r="E55" s="422"/>
      <c r="F55" s="423"/>
      <c r="G55" s="441"/>
      <c r="H55" s="441"/>
      <c r="J55" s="435"/>
      <c r="L55" s="441"/>
    </row>
    <row r="56" spans="1:12" s="448" customFormat="1" ht="24.95" customHeight="1">
      <c r="A56" s="456"/>
      <c r="B56" s="446" t="s">
        <v>90</v>
      </c>
      <c r="C56" s="447" t="s">
        <v>3799</v>
      </c>
      <c r="D56" s="491">
        <f>'CE MINISTERIALE 2019'!D56</f>
        <v>0</v>
      </c>
      <c r="E56" s="422"/>
      <c r="F56" s="423"/>
      <c r="G56" s="441"/>
      <c r="H56" s="441"/>
      <c r="J56" s="435"/>
      <c r="L56" s="441"/>
    </row>
    <row r="57" spans="1:12" s="448" customFormat="1" ht="24.95" customHeight="1">
      <c r="A57" s="456"/>
      <c r="B57" s="442" t="s">
        <v>92</v>
      </c>
      <c r="C57" s="443" t="s">
        <v>3800</v>
      </c>
      <c r="D57" s="491">
        <f>'CE MINISTERIALE 2019'!D57</f>
        <v>0</v>
      </c>
      <c r="E57" s="422"/>
      <c r="F57" s="423"/>
      <c r="G57" s="441"/>
      <c r="H57" s="441"/>
      <c r="J57" s="435"/>
      <c r="L57" s="441"/>
    </row>
    <row r="58" spans="1:12" s="448" customFormat="1" ht="24.95" customHeight="1">
      <c r="A58" s="456"/>
      <c r="B58" s="436" t="s">
        <v>2269</v>
      </c>
      <c r="C58" s="437" t="s">
        <v>3801</v>
      </c>
      <c r="D58" s="438">
        <f>'CE MINISTERIALE 2019'!D58</f>
        <v>0</v>
      </c>
      <c r="E58" s="422"/>
      <c r="F58" s="440"/>
      <c r="G58" s="441"/>
      <c r="H58" s="441"/>
      <c r="J58" s="435"/>
      <c r="L58" s="441"/>
    </row>
    <row r="59" spans="1:12" s="448" customFormat="1" ht="24.95" customHeight="1">
      <c r="A59" s="456"/>
      <c r="B59" s="442" t="s">
        <v>95</v>
      </c>
      <c r="C59" s="443" t="s">
        <v>5638</v>
      </c>
      <c r="D59" s="491">
        <f>'CE MINISTERIALE 2019'!D59</f>
        <v>0</v>
      </c>
      <c r="E59" s="422"/>
      <c r="F59" s="423"/>
      <c r="G59" s="441"/>
      <c r="H59" s="441"/>
      <c r="J59" s="435"/>
      <c r="L59" s="441"/>
    </row>
    <row r="60" spans="1:12" s="448" customFormat="1" ht="24.95" customHeight="1">
      <c r="A60" s="456"/>
      <c r="B60" s="442" t="s">
        <v>97</v>
      </c>
      <c r="C60" s="443" t="s">
        <v>5639</v>
      </c>
      <c r="D60" s="491">
        <f>'CE MINISTERIALE 2019'!D60</f>
        <v>0</v>
      </c>
      <c r="E60" s="422"/>
      <c r="F60" s="423"/>
      <c r="G60" s="441"/>
      <c r="H60" s="441"/>
      <c r="J60" s="435"/>
      <c r="L60" s="441"/>
    </row>
    <row r="61" spans="1:12" s="423" customFormat="1" ht="24.95" customHeight="1">
      <c r="A61" s="453"/>
      <c r="B61" s="436" t="s">
        <v>99</v>
      </c>
      <c r="C61" s="437" t="s">
        <v>5640</v>
      </c>
      <c r="D61" s="438">
        <f>'CE MINISTERIALE 2019'!D61</f>
        <v>0</v>
      </c>
      <c r="E61" s="422"/>
      <c r="F61" s="440"/>
      <c r="G61" s="441"/>
      <c r="H61" s="441"/>
      <c r="J61" s="435"/>
      <c r="L61" s="441"/>
    </row>
    <row r="62" spans="1:12" s="422" customFormat="1" ht="24.95" customHeight="1">
      <c r="A62" s="453"/>
      <c r="B62" s="442" t="s">
        <v>4678</v>
      </c>
      <c r="C62" s="443" t="s">
        <v>5641</v>
      </c>
      <c r="D62" s="491">
        <f>'CE MINISTERIALE 2019'!D62</f>
        <v>0</v>
      </c>
      <c r="G62" s="441"/>
      <c r="H62" s="441"/>
      <c r="J62" s="435"/>
      <c r="L62" s="441"/>
    </row>
    <row r="63" spans="1:12" s="423" customFormat="1" ht="24.95" customHeight="1">
      <c r="A63" s="453"/>
      <c r="B63" s="442" t="s">
        <v>100</v>
      </c>
      <c r="C63" s="443" t="s">
        <v>5642</v>
      </c>
      <c r="D63" s="491">
        <f>'CE MINISTERIALE 2019'!D63</f>
        <v>0</v>
      </c>
      <c r="E63" s="422"/>
      <c r="G63" s="441"/>
      <c r="H63" s="441"/>
      <c r="J63" s="435"/>
      <c r="L63" s="441"/>
    </row>
    <row r="64" spans="1:12" s="423" customFormat="1" ht="24.95" customHeight="1">
      <c r="A64" s="453"/>
      <c r="B64" s="442" t="s">
        <v>101</v>
      </c>
      <c r="C64" s="443" t="s">
        <v>5643</v>
      </c>
      <c r="D64" s="491">
        <f>'CE MINISTERIALE 2019'!D64</f>
        <v>0</v>
      </c>
      <c r="E64" s="422"/>
      <c r="G64" s="441"/>
      <c r="H64" s="441"/>
      <c r="J64" s="435"/>
      <c r="L64" s="441"/>
    </row>
    <row r="65" spans="1:12" s="423" customFormat="1" ht="24.95" customHeight="1">
      <c r="A65" s="453"/>
      <c r="B65" s="442" t="s">
        <v>102</v>
      </c>
      <c r="C65" s="443" t="s">
        <v>3802</v>
      </c>
      <c r="D65" s="491">
        <f>'CE MINISTERIALE 2019'!D65</f>
        <v>0</v>
      </c>
      <c r="E65" s="422"/>
      <c r="G65" s="441"/>
      <c r="H65" s="441"/>
      <c r="J65" s="435"/>
      <c r="L65" s="441"/>
    </row>
    <row r="66" spans="1:12" s="423" customFormat="1" ht="24.95" customHeight="1">
      <c r="A66" s="453"/>
      <c r="B66" s="442" t="s">
        <v>2134</v>
      </c>
      <c r="C66" s="443" t="s">
        <v>5644</v>
      </c>
      <c r="D66" s="491">
        <f>'CE MINISTERIALE 2019'!D66</f>
        <v>0</v>
      </c>
      <c r="E66" s="422"/>
      <c r="G66" s="441"/>
      <c r="H66" s="441"/>
      <c r="J66" s="435"/>
      <c r="L66" s="441"/>
    </row>
    <row r="67" spans="1:12" s="448" customFormat="1" ht="24.95" customHeight="1">
      <c r="A67" s="456"/>
      <c r="B67" s="436" t="s">
        <v>103</v>
      </c>
      <c r="C67" s="437" t="s">
        <v>5645</v>
      </c>
      <c r="D67" s="438">
        <f>'CE MINISTERIALE 2019'!D67</f>
        <v>63818000</v>
      </c>
      <c r="E67" s="422"/>
      <c r="F67" s="440"/>
      <c r="G67" s="441"/>
      <c r="H67" s="441"/>
      <c r="J67" s="435"/>
      <c r="L67" s="441"/>
    </row>
    <row r="68" spans="1:12" s="448" customFormat="1" ht="24.95" customHeight="1">
      <c r="A68" s="456"/>
      <c r="B68" s="442" t="s">
        <v>105</v>
      </c>
      <c r="C68" s="443" t="s">
        <v>5646</v>
      </c>
      <c r="D68" s="438">
        <f>'CE MINISTERIALE 2019'!D68</f>
        <v>46218000</v>
      </c>
      <c r="E68" s="422"/>
      <c r="F68" s="440"/>
      <c r="G68" s="441"/>
      <c r="H68" s="441"/>
      <c r="J68" s="435"/>
      <c r="L68" s="441"/>
    </row>
    <row r="69" spans="1:12" s="448" customFormat="1" ht="24.95" customHeight="1">
      <c r="A69" s="456" t="s">
        <v>312</v>
      </c>
      <c r="B69" s="446" t="s">
        <v>107</v>
      </c>
      <c r="C69" s="447" t="s">
        <v>5647</v>
      </c>
      <c r="D69" s="438">
        <f>'CE MINISTERIALE 2019'!D69</f>
        <v>0</v>
      </c>
      <c r="E69" s="422"/>
      <c r="F69" s="440"/>
      <c r="G69" s="441"/>
      <c r="H69" s="441"/>
      <c r="J69" s="435"/>
      <c r="L69" s="441"/>
    </row>
    <row r="70" spans="1:12" s="448" customFormat="1" ht="24.95" customHeight="1">
      <c r="A70" s="456" t="s">
        <v>312</v>
      </c>
      <c r="B70" s="449" t="s">
        <v>109</v>
      </c>
      <c r="C70" s="450" t="s">
        <v>3803</v>
      </c>
      <c r="D70" s="491">
        <f>'CE MINISTERIALE 2019'!D70</f>
        <v>0</v>
      </c>
      <c r="E70" s="422"/>
      <c r="F70" s="423"/>
      <c r="G70" s="441"/>
      <c r="H70" s="441"/>
      <c r="J70" s="435"/>
      <c r="L70" s="441"/>
    </row>
    <row r="71" spans="1:12" s="423" customFormat="1" ht="24.95" customHeight="1">
      <c r="A71" s="453" t="s">
        <v>312</v>
      </c>
      <c r="B71" s="449" t="s">
        <v>111</v>
      </c>
      <c r="C71" s="450" t="s">
        <v>3804</v>
      </c>
      <c r="D71" s="491">
        <f>'CE MINISTERIALE 2019'!D71</f>
        <v>0</v>
      </c>
      <c r="E71" s="422"/>
      <c r="G71" s="441"/>
      <c r="H71" s="441"/>
      <c r="J71" s="435"/>
      <c r="L71" s="441"/>
    </row>
    <row r="72" spans="1:12" s="423" customFormat="1" ht="24.95" customHeight="1">
      <c r="A72" s="453" t="s">
        <v>312</v>
      </c>
      <c r="B72" s="449" t="s">
        <v>4684</v>
      </c>
      <c r="C72" s="450" t="s">
        <v>5648</v>
      </c>
      <c r="D72" s="491">
        <f>'CE MINISTERIALE 2019'!D72</f>
        <v>0</v>
      </c>
      <c r="E72" s="422"/>
      <c r="G72" s="441"/>
      <c r="H72" s="441"/>
      <c r="J72" s="435"/>
      <c r="L72" s="441"/>
    </row>
    <row r="73" spans="1:12" s="423" customFormat="1" ht="24.95" customHeight="1">
      <c r="A73" s="453" t="s">
        <v>312</v>
      </c>
      <c r="B73" s="449" t="s">
        <v>113</v>
      </c>
      <c r="C73" s="450" t="s">
        <v>5649</v>
      </c>
      <c r="D73" s="491">
        <f>'CE MINISTERIALE 2019'!D73</f>
        <v>0</v>
      </c>
      <c r="E73" s="422"/>
      <c r="G73" s="441"/>
      <c r="H73" s="441"/>
      <c r="J73" s="435"/>
      <c r="L73" s="441"/>
    </row>
    <row r="74" spans="1:12" s="423" customFormat="1" ht="24.95" customHeight="1">
      <c r="A74" s="453" t="s">
        <v>312</v>
      </c>
      <c r="B74" s="449" t="s">
        <v>114</v>
      </c>
      <c r="C74" s="450" t="s">
        <v>5650</v>
      </c>
      <c r="D74" s="491">
        <f>'CE MINISTERIALE 2019'!D74</f>
        <v>0</v>
      </c>
      <c r="E74" s="422"/>
      <c r="G74" s="441"/>
      <c r="H74" s="441"/>
      <c r="J74" s="435"/>
      <c r="L74" s="441"/>
    </row>
    <row r="75" spans="1:12" s="423" customFormat="1" ht="24.95" customHeight="1">
      <c r="A75" s="453" t="s">
        <v>312</v>
      </c>
      <c r="B75" s="449" t="s">
        <v>115</v>
      </c>
      <c r="C75" s="450" t="s">
        <v>5651</v>
      </c>
      <c r="D75" s="491">
        <f>'CE MINISTERIALE 2019'!D75</f>
        <v>0</v>
      </c>
      <c r="E75" s="422"/>
      <c r="G75" s="441"/>
      <c r="H75" s="441"/>
      <c r="J75" s="435"/>
      <c r="L75" s="441"/>
    </row>
    <row r="76" spans="1:12" s="423" customFormat="1" ht="24.95" customHeight="1">
      <c r="A76" s="453" t="s">
        <v>312</v>
      </c>
      <c r="B76" s="449" t="s">
        <v>795</v>
      </c>
      <c r="C76" s="450" t="s">
        <v>5652</v>
      </c>
      <c r="D76" s="491">
        <f>'CE MINISTERIALE 2019'!D76</f>
        <v>0</v>
      </c>
      <c r="E76" s="422"/>
      <c r="G76" s="441"/>
      <c r="H76" s="441"/>
      <c r="J76" s="435"/>
      <c r="L76" s="441"/>
    </row>
    <row r="77" spans="1:12" s="423" customFormat="1" ht="24.95" customHeight="1">
      <c r="A77" s="453" t="s">
        <v>312</v>
      </c>
      <c r="B77" s="449" t="s">
        <v>796</v>
      </c>
      <c r="C77" s="450" t="s">
        <v>5653</v>
      </c>
      <c r="D77" s="491">
        <f>'CE MINISTERIALE 2019'!D77</f>
        <v>0</v>
      </c>
      <c r="E77" s="422"/>
      <c r="G77" s="441"/>
      <c r="H77" s="441"/>
      <c r="J77" s="435"/>
      <c r="L77" s="441"/>
    </row>
    <row r="78" spans="1:12" s="423" customFormat="1" ht="24.95" customHeight="1">
      <c r="A78" s="453" t="s">
        <v>312</v>
      </c>
      <c r="B78" s="449" t="s">
        <v>797</v>
      </c>
      <c r="C78" s="450" t="s">
        <v>5654</v>
      </c>
      <c r="D78" s="491">
        <f>'CE MINISTERIALE 2019'!D78</f>
        <v>0</v>
      </c>
      <c r="E78" s="422"/>
      <c r="G78" s="441"/>
      <c r="H78" s="441"/>
      <c r="J78" s="435"/>
      <c r="L78" s="441"/>
    </row>
    <row r="79" spans="1:12" s="423" customFormat="1" ht="24.95" customHeight="1">
      <c r="A79" s="453" t="s">
        <v>312</v>
      </c>
      <c r="B79" s="449" t="s">
        <v>4692</v>
      </c>
      <c r="C79" s="450" t="s">
        <v>5655</v>
      </c>
      <c r="D79" s="491">
        <f>'CE MINISTERIALE 2019'!D79</f>
        <v>0</v>
      </c>
      <c r="E79" s="422"/>
      <c r="G79" s="441"/>
      <c r="H79" s="441"/>
      <c r="J79" s="435"/>
      <c r="L79" s="441"/>
    </row>
    <row r="80" spans="1:12" s="423" customFormat="1" ht="24.95" customHeight="1">
      <c r="A80" s="453" t="s">
        <v>312</v>
      </c>
      <c r="B80" s="449" t="s">
        <v>4694</v>
      </c>
      <c r="C80" s="450" t="s">
        <v>5656</v>
      </c>
      <c r="D80" s="491">
        <f>'CE MINISTERIALE 2019'!D80</f>
        <v>0</v>
      </c>
      <c r="E80" s="422"/>
      <c r="F80" s="664"/>
      <c r="G80" s="441"/>
      <c r="H80" s="441"/>
      <c r="J80" s="435"/>
      <c r="L80" s="441"/>
    </row>
    <row r="81" spans="1:12" s="423" customFormat="1" ht="24.95" customHeight="1">
      <c r="A81" s="456" t="s">
        <v>312</v>
      </c>
      <c r="B81" s="449" t="s">
        <v>4696</v>
      </c>
      <c r="C81" s="450" t="s">
        <v>5657</v>
      </c>
      <c r="D81" s="491">
        <f>'CE MINISTERIALE 2019'!D81</f>
        <v>0</v>
      </c>
      <c r="E81" s="422"/>
      <c r="F81" s="664"/>
      <c r="G81" s="441"/>
      <c r="H81" s="441"/>
      <c r="J81" s="435"/>
      <c r="L81" s="441"/>
    </row>
    <row r="82" spans="1:12" s="448" customFormat="1" ht="24.95" customHeight="1">
      <c r="A82" s="456" t="s">
        <v>312</v>
      </c>
      <c r="B82" s="449" t="s">
        <v>4698</v>
      </c>
      <c r="C82" s="450" t="s">
        <v>5658</v>
      </c>
      <c r="D82" s="491">
        <f>'CE MINISTERIALE 2019'!D82</f>
        <v>0</v>
      </c>
      <c r="E82" s="422"/>
      <c r="F82" s="664"/>
      <c r="G82" s="441"/>
      <c r="H82" s="441"/>
      <c r="J82" s="435"/>
      <c r="L82" s="441"/>
    </row>
    <row r="83" spans="1:12" s="423" customFormat="1" ht="24.95" customHeight="1">
      <c r="A83" s="456" t="s">
        <v>312</v>
      </c>
      <c r="B83" s="449" t="s">
        <v>4700</v>
      </c>
      <c r="C83" s="450" t="s">
        <v>5659</v>
      </c>
      <c r="D83" s="491">
        <f>'CE MINISTERIALE 2019'!D83</f>
        <v>0</v>
      </c>
      <c r="E83" s="422"/>
      <c r="F83" s="664"/>
      <c r="G83" s="441"/>
      <c r="H83" s="441"/>
      <c r="J83" s="435"/>
      <c r="L83" s="441"/>
    </row>
    <row r="84" spans="1:12" s="423" customFormat="1" ht="24.95" customHeight="1">
      <c r="A84" s="456" t="s">
        <v>312</v>
      </c>
      <c r="B84" s="449" t="s">
        <v>798</v>
      </c>
      <c r="C84" s="450" t="s">
        <v>5660</v>
      </c>
      <c r="D84" s="491">
        <f>'CE MINISTERIALE 2019'!D84</f>
        <v>0</v>
      </c>
      <c r="E84" s="422"/>
      <c r="F84" s="664"/>
      <c r="G84" s="441"/>
      <c r="H84" s="441"/>
      <c r="J84" s="435"/>
      <c r="L84" s="441"/>
    </row>
    <row r="85" spans="1:12" s="448" customFormat="1" ht="42.75" customHeight="1">
      <c r="A85" s="456"/>
      <c r="B85" s="446" t="s">
        <v>799</v>
      </c>
      <c r="C85" s="447" t="s">
        <v>5661</v>
      </c>
      <c r="D85" s="491">
        <f>'CE MINISTERIALE 2019'!D85</f>
        <v>308000</v>
      </c>
      <c r="E85" s="422"/>
      <c r="F85" s="423"/>
      <c r="G85" s="441"/>
      <c r="H85" s="441"/>
      <c r="J85" s="435"/>
      <c r="L85" s="441"/>
    </row>
    <row r="86" spans="1:12" s="448" customFormat="1" ht="24.95" customHeight="1">
      <c r="A86" s="456"/>
      <c r="B86" s="446" t="s">
        <v>800</v>
      </c>
      <c r="C86" s="447" t="s">
        <v>5662</v>
      </c>
      <c r="D86" s="438">
        <f>'CE MINISTERIALE 2019'!D86</f>
        <v>45910000</v>
      </c>
      <c r="E86" s="422"/>
      <c r="F86" s="440"/>
      <c r="G86" s="441"/>
      <c r="H86" s="441"/>
      <c r="J86" s="435"/>
      <c r="L86" s="441"/>
    </row>
    <row r="87" spans="1:12" s="448" customFormat="1" ht="24.95" customHeight="1">
      <c r="A87" s="456" t="s">
        <v>1589</v>
      </c>
      <c r="B87" s="449" t="s">
        <v>1590</v>
      </c>
      <c r="C87" s="450" t="s">
        <v>3805</v>
      </c>
      <c r="D87" s="491">
        <f>'CE MINISTERIALE 2019'!D87</f>
        <v>15473000</v>
      </c>
      <c r="E87" s="422"/>
      <c r="F87" s="423"/>
      <c r="G87" s="441"/>
      <c r="H87" s="441"/>
      <c r="J87" s="435"/>
      <c r="L87" s="441"/>
    </row>
    <row r="88" spans="1:12" s="448" customFormat="1" ht="24.95" customHeight="1">
      <c r="A88" s="456" t="s">
        <v>1589</v>
      </c>
      <c r="B88" s="449" t="s">
        <v>1592</v>
      </c>
      <c r="C88" s="450" t="s">
        <v>5663</v>
      </c>
      <c r="D88" s="491">
        <f>'CE MINISTERIALE 2019'!D88</f>
        <v>4199000</v>
      </c>
      <c r="E88" s="422"/>
      <c r="F88" s="423"/>
      <c r="G88" s="441"/>
      <c r="H88" s="441"/>
      <c r="J88" s="435"/>
      <c r="L88" s="441"/>
    </row>
    <row r="89" spans="1:12" s="423" customFormat="1" ht="24.95" customHeight="1">
      <c r="A89" s="456" t="s">
        <v>1589</v>
      </c>
      <c r="B89" s="449" t="s">
        <v>4705</v>
      </c>
      <c r="C89" s="450" t="s">
        <v>5664</v>
      </c>
      <c r="D89" s="491">
        <f>'CE MINISTERIALE 2019'!D89</f>
        <v>0</v>
      </c>
      <c r="E89" s="422"/>
      <c r="G89" s="441"/>
      <c r="H89" s="441"/>
      <c r="J89" s="435"/>
      <c r="L89" s="441"/>
    </row>
    <row r="90" spans="1:12" s="423" customFormat="1" ht="24.95" customHeight="1">
      <c r="A90" s="453" t="s">
        <v>1594</v>
      </c>
      <c r="B90" s="449" t="s">
        <v>1595</v>
      </c>
      <c r="C90" s="450" t="s">
        <v>5665</v>
      </c>
      <c r="D90" s="491">
        <f>'CE MINISTERIALE 2019'!D90</f>
        <v>0</v>
      </c>
      <c r="E90" s="422"/>
      <c r="G90" s="441"/>
      <c r="H90" s="441"/>
      <c r="J90" s="435"/>
      <c r="L90" s="441"/>
    </row>
    <row r="91" spans="1:12" s="448" customFormat="1" ht="24.95" customHeight="1">
      <c r="A91" s="453" t="s">
        <v>1589</v>
      </c>
      <c r="B91" s="449" t="s">
        <v>1596</v>
      </c>
      <c r="C91" s="450" t="s">
        <v>5666</v>
      </c>
      <c r="D91" s="491">
        <f>'CE MINISTERIALE 2019'!D91</f>
        <v>2542000</v>
      </c>
      <c r="E91" s="422"/>
      <c r="F91" s="423"/>
      <c r="G91" s="441"/>
      <c r="H91" s="441"/>
      <c r="J91" s="435"/>
      <c r="L91" s="441"/>
    </row>
    <row r="92" spans="1:12" s="423" customFormat="1" ht="24.95" customHeight="1">
      <c r="A92" s="453" t="s">
        <v>1589</v>
      </c>
      <c r="B92" s="449" t="s">
        <v>1597</v>
      </c>
      <c r="C92" s="450" t="s">
        <v>5667</v>
      </c>
      <c r="D92" s="491">
        <f>'CE MINISTERIALE 2019'!D92</f>
        <v>117000</v>
      </c>
      <c r="E92" s="422"/>
      <c r="G92" s="441"/>
      <c r="H92" s="441"/>
      <c r="J92" s="435"/>
      <c r="L92" s="441"/>
    </row>
    <row r="93" spans="1:12" s="423" customFormat="1" ht="24.95" customHeight="1">
      <c r="A93" s="453" t="s">
        <v>1589</v>
      </c>
      <c r="B93" s="449" t="s">
        <v>1598</v>
      </c>
      <c r="C93" s="450" t="s">
        <v>5668</v>
      </c>
      <c r="D93" s="491">
        <f>'CE MINISTERIALE 2019'!D93</f>
        <v>544000</v>
      </c>
      <c r="E93" s="422"/>
      <c r="G93" s="441"/>
      <c r="H93" s="441"/>
      <c r="J93" s="435"/>
      <c r="L93" s="441"/>
    </row>
    <row r="94" spans="1:12" s="423" customFormat="1" ht="24.95" customHeight="1">
      <c r="A94" s="453" t="s">
        <v>1589</v>
      </c>
      <c r="B94" s="449" t="s">
        <v>1599</v>
      </c>
      <c r="C94" s="450" t="s">
        <v>5669</v>
      </c>
      <c r="D94" s="491">
        <f>'CE MINISTERIALE 2019'!D94</f>
        <v>8000</v>
      </c>
      <c r="E94" s="422"/>
      <c r="G94" s="441"/>
      <c r="H94" s="441"/>
      <c r="J94" s="435"/>
      <c r="L94" s="441"/>
    </row>
    <row r="95" spans="1:12" s="423" customFormat="1" ht="24.95" customHeight="1">
      <c r="A95" s="453" t="s">
        <v>1589</v>
      </c>
      <c r="B95" s="449" t="s">
        <v>1600</v>
      </c>
      <c r="C95" s="450" t="s">
        <v>5670</v>
      </c>
      <c r="D95" s="491">
        <f>'CE MINISTERIALE 2019'!D95</f>
        <v>5908000</v>
      </c>
      <c r="E95" s="422"/>
      <c r="G95" s="441"/>
      <c r="H95" s="441"/>
      <c r="J95" s="435"/>
      <c r="L95" s="441"/>
    </row>
    <row r="96" spans="1:12" s="423" customFormat="1" ht="24.95" customHeight="1">
      <c r="A96" s="453" t="s">
        <v>1594</v>
      </c>
      <c r="B96" s="449" t="s">
        <v>4713</v>
      </c>
      <c r="C96" s="450" t="s">
        <v>5671</v>
      </c>
      <c r="D96" s="491">
        <f>'CE MINISTERIALE 2019'!D96</f>
        <v>0</v>
      </c>
      <c r="E96" s="422"/>
      <c r="G96" s="441"/>
      <c r="H96" s="441"/>
      <c r="J96" s="435"/>
      <c r="L96" s="441"/>
    </row>
    <row r="97" spans="1:12" s="423" customFormat="1" ht="24.95" customHeight="1">
      <c r="A97" s="453" t="s">
        <v>1594</v>
      </c>
      <c r="B97" s="449" t="s">
        <v>4715</v>
      </c>
      <c r="C97" s="450" t="s">
        <v>5672</v>
      </c>
      <c r="D97" s="491">
        <f>'CE MINISTERIALE 2019'!D97</f>
        <v>0</v>
      </c>
      <c r="E97" s="422"/>
      <c r="G97" s="441"/>
      <c r="H97" s="441"/>
      <c r="J97" s="435"/>
      <c r="L97" s="441"/>
    </row>
    <row r="98" spans="1:12" s="423" customFormat="1" ht="24.95" customHeight="1">
      <c r="A98" s="453" t="s">
        <v>1589</v>
      </c>
      <c r="B98" s="449" t="s">
        <v>1601</v>
      </c>
      <c r="C98" s="450" t="s">
        <v>5673</v>
      </c>
      <c r="D98" s="491">
        <f>'CE MINISTERIALE 2019'!D98</f>
        <v>0</v>
      </c>
      <c r="E98" s="422"/>
      <c r="G98" s="441"/>
      <c r="H98" s="441"/>
      <c r="J98" s="435"/>
      <c r="L98" s="441"/>
    </row>
    <row r="99" spans="1:12" s="423" customFormat="1" ht="24.95" customHeight="1">
      <c r="A99" s="453" t="s">
        <v>1589</v>
      </c>
      <c r="B99" s="449" t="s">
        <v>1602</v>
      </c>
      <c r="C99" s="450" t="s">
        <v>5674</v>
      </c>
      <c r="D99" s="491">
        <f>'CE MINISTERIALE 2019'!D99</f>
        <v>0</v>
      </c>
      <c r="E99" s="422"/>
      <c r="G99" s="441"/>
      <c r="H99" s="441"/>
      <c r="J99" s="435"/>
      <c r="L99" s="441"/>
    </row>
    <row r="100" spans="1:12" s="423" customFormat="1" ht="24.95" customHeight="1">
      <c r="A100" s="453" t="s">
        <v>1589</v>
      </c>
      <c r="B100" s="449" t="s">
        <v>4719</v>
      </c>
      <c r="C100" s="450" t="s">
        <v>5675</v>
      </c>
      <c r="D100" s="491">
        <f>'CE MINISTERIALE 2019'!D100</f>
        <v>814000</v>
      </c>
      <c r="E100" s="422"/>
      <c r="G100" s="441"/>
      <c r="H100" s="441"/>
      <c r="J100" s="435"/>
      <c r="L100" s="441"/>
    </row>
    <row r="101" spans="1:12" s="455" customFormat="1" ht="24.95" customHeight="1">
      <c r="A101" s="453" t="s">
        <v>1594</v>
      </c>
      <c r="B101" s="449" t="s">
        <v>1603</v>
      </c>
      <c r="C101" s="450" t="s">
        <v>5676</v>
      </c>
      <c r="D101" s="438">
        <f>'CE MINISTERIALE 2019'!D101</f>
        <v>598000</v>
      </c>
      <c r="E101" s="454"/>
      <c r="F101" s="440"/>
      <c r="G101" s="441"/>
      <c r="H101" s="441"/>
      <c r="J101" s="435"/>
      <c r="L101" s="441"/>
    </row>
    <row r="102" spans="1:12" s="455" customFormat="1" ht="24.95" customHeight="1">
      <c r="A102" s="453" t="s">
        <v>1594</v>
      </c>
      <c r="B102" s="446" t="s">
        <v>1604</v>
      </c>
      <c r="C102" s="447" t="s">
        <v>5677</v>
      </c>
      <c r="D102" s="491">
        <f>'CE MINISTERIALE 2019'!D102</f>
        <v>0</v>
      </c>
      <c r="E102" s="454"/>
      <c r="G102" s="441"/>
      <c r="H102" s="441"/>
      <c r="J102" s="435"/>
      <c r="L102" s="441"/>
    </row>
    <row r="103" spans="1:12" s="423" customFormat="1" ht="24.95" customHeight="1">
      <c r="A103" s="453" t="s">
        <v>1594</v>
      </c>
      <c r="B103" s="446" t="s">
        <v>1605</v>
      </c>
      <c r="C103" s="447" t="s">
        <v>5678</v>
      </c>
      <c r="D103" s="491">
        <f>'CE MINISTERIALE 2019'!D103</f>
        <v>598000</v>
      </c>
      <c r="E103" s="422"/>
      <c r="G103" s="441"/>
      <c r="H103" s="441"/>
      <c r="J103" s="435"/>
      <c r="L103" s="441"/>
    </row>
    <row r="104" spans="1:12" s="422" customFormat="1" ht="24.95" customHeight="1">
      <c r="A104" s="453"/>
      <c r="B104" s="449" t="s">
        <v>677</v>
      </c>
      <c r="C104" s="450" t="s">
        <v>5679</v>
      </c>
      <c r="D104" s="491">
        <f>'CE MINISTERIALE 2019'!D104</f>
        <v>15707000</v>
      </c>
      <c r="G104" s="441"/>
      <c r="H104" s="441"/>
      <c r="J104" s="435"/>
      <c r="L104" s="441"/>
    </row>
    <row r="105" spans="1:12" s="422" customFormat="1" ht="24.95" customHeight="1">
      <c r="A105" s="456" t="s">
        <v>312</v>
      </c>
      <c r="B105" s="449" t="s">
        <v>4725</v>
      </c>
      <c r="C105" s="450" t="s">
        <v>5680</v>
      </c>
      <c r="D105" s="491">
        <f>'CE MINISTERIALE 2019'!D105</f>
        <v>0</v>
      </c>
      <c r="G105" s="441"/>
      <c r="H105" s="441"/>
      <c r="J105" s="435"/>
      <c r="L105" s="441"/>
    </row>
    <row r="106" spans="1:12" s="422" customFormat="1" ht="24.95" customHeight="1">
      <c r="A106" s="456" t="s">
        <v>1594</v>
      </c>
      <c r="B106" s="449" t="s">
        <v>4727</v>
      </c>
      <c r="C106" s="450" t="s">
        <v>5681</v>
      </c>
      <c r="D106" s="491">
        <f>'CE MINISTERIALE 2019'!D106</f>
        <v>0</v>
      </c>
      <c r="G106" s="441"/>
      <c r="H106" s="441"/>
      <c r="J106" s="435"/>
      <c r="L106" s="441"/>
    </row>
    <row r="107" spans="1:12" s="448" customFormat="1" ht="24.95" customHeight="1">
      <c r="A107" s="677" t="s">
        <v>1589</v>
      </c>
      <c r="B107" s="442" t="s">
        <v>678</v>
      </c>
      <c r="C107" s="443" t="s">
        <v>5682</v>
      </c>
      <c r="D107" s="438">
        <f>'CE MINISTERIALE 2019'!D107</f>
        <v>0</v>
      </c>
      <c r="E107" s="422"/>
      <c r="F107" s="440"/>
      <c r="G107" s="441"/>
      <c r="H107" s="441"/>
      <c r="J107" s="435"/>
      <c r="L107" s="441"/>
    </row>
    <row r="108" spans="1:12" s="423" customFormat="1" ht="24.95" customHeight="1">
      <c r="A108" s="453" t="s">
        <v>1589</v>
      </c>
      <c r="B108" s="449" t="s">
        <v>680</v>
      </c>
      <c r="C108" s="450" t="s">
        <v>5683</v>
      </c>
      <c r="D108" s="491">
        <f>'CE MINISTERIALE 2019'!D108</f>
        <v>0</v>
      </c>
      <c r="E108" s="422"/>
      <c r="G108" s="441"/>
      <c r="H108" s="441"/>
      <c r="J108" s="435"/>
      <c r="L108" s="441"/>
    </row>
    <row r="109" spans="1:12" s="423" customFormat="1" ht="24.95" customHeight="1">
      <c r="A109" s="453" t="s">
        <v>1589</v>
      </c>
      <c r="B109" s="446" t="s">
        <v>682</v>
      </c>
      <c r="C109" s="447" t="s">
        <v>5684</v>
      </c>
      <c r="D109" s="491">
        <f>'CE MINISTERIALE 2019'!D109</f>
        <v>0</v>
      </c>
      <c r="E109" s="422"/>
      <c r="G109" s="441"/>
      <c r="H109" s="441"/>
      <c r="J109" s="435"/>
      <c r="L109" s="441"/>
    </row>
    <row r="110" spans="1:12" s="423" customFormat="1" ht="24.95" customHeight="1">
      <c r="A110" s="453" t="s">
        <v>1589</v>
      </c>
      <c r="B110" s="446" t="s">
        <v>4729</v>
      </c>
      <c r="C110" s="447" t="s">
        <v>5685</v>
      </c>
      <c r="D110" s="491">
        <f>'CE MINISTERIALE 2019'!D110</f>
        <v>0</v>
      </c>
      <c r="E110" s="422"/>
      <c r="G110" s="441"/>
      <c r="H110" s="441"/>
      <c r="J110" s="435"/>
      <c r="L110" s="441"/>
    </row>
    <row r="111" spans="1:12" s="423" customFormat="1" ht="24.95" customHeight="1">
      <c r="A111" s="456" t="s">
        <v>1589</v>
      </c>
      <c r="B111" s="446" t="s">
        <v>684</v>
      </c>
      <c r="C111" s="447" t="s">
        <v>5686</v>
      </c>
      <c r="D111" s="491">
        <f>'CE MINISTERIALE 2019'!D111</f>
        <v>0</v>
      </c>
      <c r="E111" s="422"/>
      <c r="G111" s="441"/>
      <c r="H111" s="441"/>
      <c r="J111" s="435"/>
      <c r="L111" s="441"/>
    </row>
    <row r="112" spans="1:12" s="423" customFormat="1" ht="24.95" customHeight="1">
      <c r="A112" s="456" t="s">
        <v>1589</v>
      </c>
      <c r="B112" s="446" t="s">
        <v>685</v>
      </c>
      <c r="C112" s="447" t="s">
        <v>5687</v>
      </c>
      <c r="D112" s="491">
        <f>'CE MINISTERIALE 2019'!D112</f>
        <v>0</v>
      </c>
      <c r="E112" s="422"/>
      <c r="G112" s="441"/>
      <c r="H112" s="441"/>
      <c r="J112" s="435"/>
      <c r="L112" s="441"/>
    </row>
    <row r="113" spans="1:12" s="448" customFormat="1" ht="24.95" customHeight="1">
      <c r="A113" s="456"/>
      <c r="B113" s="442" t="s">
        <v>350</v>
      </c>
      <c r="C113" s="443" t="s">
        <v>5688</v>
      </c>
      <c r="D113" s="491">
        <f>'CE MINISTERIALE 2019'!D113</f>
        <v>14145000</v>
      </c>
      <c r="E113" s="422"/>
      <c r="F113" s="423"/>
      <c r="G113" s="441"/>
      <c r="H113" s="441"/>
      <c r="J113" s="435"/>
      <c r="L113" s="441"/>
    </row>
    <row r="114" spans="1:12" s="448" customFormat="1" ht="24.95" customHeight="1">
      <c r="A114" s="456"/>
      <c r="B114" s="442" t="s">
        <v>352</v>
      </c>
      <c r="C114" s="443" t="s">
        <v>5689</v>
      </c>
      <c r="D114" s="438">
        <f>'CE MINISTERIALE 2019'!D114</f>
        <v>3455000</v>
      </c>
      <c r="E114" s="422"/>
      <c r="F114" s="440"/>
      <c r="G114" s="441"/>
      <c r="H114" s="441"/>
      <c r="J114" s="435"/>
      <c r="L114" s="441"/>
    </row>
    <row r="115" spans="1:12" s="448" customFormat="1" ht="24.95" customHeight="1">
      <c r="A115" s="456"/>
      <c r="B115" s="446" t="s">
        <v>354</v>
      </c>
      <c r="C115" s="447" t="s">
        <v>5690</v>
      </c>
      <c r="D115" s="491">
        <f>'CE MINISTERIALE 2019'!D115</f>
        <v>0</v>
      </c>
      <c r="E115" s="422"/>
      <c r="F115" s="423"/>
      <c r="G115" s="441"/>
      <c r="H115" s="441"/>
      <c r="J115" s="435"/>
      <c r="L115" s="441"/>
    </row>
    <row r="116" spans="1:12" s="448" customFormat="1" ht="24.95" customHeight="1">
      <c r="A116" s="456"/>
      <c r="B116" s="446" t="s">
        <v>356</v>
      </c>
      <c r="C116" s="447" t="s">
        <v>5691</v>
      </c>
      <c r="D116" s="491">
        <f>'CE MINISTERIALE 2019'!D116</f>
        <v>2680000</v>
      </c>
      <c r="E116" s="422"/>
      <c r="F116" s="423"/>
      <c r="G116" s="441"/>
      <c r="H116" s="441"/>
      <c r="J116" s="435"/>
      <c r="L116" s="441"/>
    </row>
    <row r="117" spans="1:12" s="448" customFormat="1" ht="24.95" customHeight="1">
      <c r="A117" s="456"/>
      <c r="B117" s="446" t="s">
        <v>358</v>
      </c>
      <c r="C117" s="447" t="s">
        <v>5692</v>
      </c>
      <c r="D117" s="491">
        <f>'CE MINISTERIALE 2019'!D117</f>
        <v>0</v>
      </c>
      <c r="E117" s="422"/>
      <c r="F117" s="423"/>
      <c r="G117" s="441"/>
      <c r="H117" s="441"/>
      <c r="J117" s="435"/>
      <c r="L117" s="441"/>
    </row>
    <row r="118" spans="1:12" s="448" customFormat="1" ht="24.95" customHeight="1">
      <c r="A118" s="456"/>
      <c r="B118" s="446" t="s">
        <v>360</v>
      </c>
      <c r="C118" s="447" t="s">
        <v>5693</v>
      </c>
      <c r="D118" s="491">
        <f>'CE MINISTERIALE 2019'!D118</f>
        <v>340000</v>
      </c>
      <c r="E118" s="422"/>
      <c r="F118" s="423"/>
      <c r="G118" s="441"/>
      <c r="H118" s="441"/>
      <c r="J118" s="435"/>
      <c r="L118" s="441"/>
    </row>
    <row r="119" spans="1:12" s="448" customFormat="1" ht="24.95" customHeight="1">
      <c r="A119" s="456" t="s">
        <v>312</v>
      </c>
      <c r="B119" s="446" t="s">
        <v>362</v>
      </c>
      <c r="C119" s="447" t="s">
        <v>5694</v>
      </c>
      <c r="D119" s="491">
        <f>'CE MINISTERIALE 2019'!D119</f>
        <v>0</v>
      </c>
      <c r="E119" s="422"/>
      <c r="F119" s="423"/>
      <c r="G119" s="441"/>
      <c r="H119" s="441"/>
      <c r="J119" s="435"/>
      <c r="L119" s="441"/>
    </row>
    <row r="120" spans="1:12" s="448" customFormat="1" ht="24.95" customHeight="1">
      <c r="A120" s="456"/>
      <c r="B120" s="446" t="s">
        <v>364</v>
      </c>
      <c r="C120" s="447" t="s">
        <v>5695</v>
      </c>
      <c r="D120" s="491">
        <f>'CE MINISTERIALE 2019'!D120</f>
        <v>435000.00000000006</v>
      </c>
      <c r="E120" s="422"/>
      <c r="F120" s="423"/>
      <c r="G120" s="441"/>
      <c r="H120" s="441"/>
      <c r="J120" s="435"/>
      <c r="L120" s="441"/>
    </row>
    <row r="121" spans="1:12" s="448" customFormat="1" ht="24.95" customHeight="1">
      <c r="A121" s="456" t="s">
        <v>312</v>
      </c>
      <c r="B121" s="446" t="s">
        <v>366</v>
      </c>
      <c r="C121" s="447" t="s">
        <v>5696</v>
      </c>
      <c r="D121" s="491">
        <f>'CE MINISTERIALE 2019'!D121</f>
        <v>0</v>
      </c>
      <c r="E121" s="422"/>
      <c r="F121" s="423"/>
      <c r="G121" s="441"/>
      <c r="H121" s="441"/>
      <c r="J121" s="435"/>
      <c r="L121" s="441"/>
    </row>
    <row r="122" spans="1:12" s="448" customFormat="1" ht="24.95" customHeight="1">
      <c r="A122" s="678"/>
      <c r="B122" s="436" t="s">
        <v>368</v>
      </c>
      <c r="C122" s="437" t="s">
        <v>5697</v>
      </c>
      <c r="D122" s="438">
        <f>'CE MINISTERIALE 2019'!D122</f>
        <v>18485000</v>
      </c>
      <c r="E122" s="422"/>
      <c r="F122" s="440"/>
      <c r="G122" s="441"/>
      <c r="H122" s="441"/>
      <c r="J122" s="435"/>
      <c r="L122" s="441"/>
    </row>
    <row r="123" spans="1:12" s="448" customFormat="1" ht="24.95" customHeight="1">
      <c r="A123" s="678"/>
      <c r="B123" s="442" t="s">
        <v>370</v>
      </c>
      <c r="C123" s="443" t="s">
        <v>3806</v>
      </c>
      <c r="D123" s="491">
        <f>'CE MINISTERIALE 2019'!D123</f>
        <v>30000</v>
      </c>
      <c r="E123" s="422"/>
      <c r="F123" s="423"/>
      <c r="G123" s="441"/>
      <c r="H123" s="441"/>
      <c r="J123" s="435"/>
      <c r="L123" s="441"/>
    </row>
    <row r="124" spans="1:12" s="448" customFormat="1" ht="24.95" customHeight="1">
      <c r="A124" s="679"/>
      <c r="B124" s="442" t="s">
        <v>372</v>
      </c>
      <c r="C124" s="443" t="s">
        <v>5698</v>
      </c>
      <c r="D124" s="438">
        <f>'CE MINISTERIALE 2019'!D124</f>
        <v>3000000</v>
      </c>
      <c r="E124" s="422"/>
      <c r="F124" s="440"/>
      <c r="G124" s="441"/>
      <c r="H124" s="441"/>
      <c r="J124" s="435"/>
      <c r="L124" s="441"/>
    </row>
    <row r="125" spans="1:12" s="448" customFormat="1" ht="24.95" customHeight="1">
      <c r="A125" s="679"/>
      <c r="B125" s="446" t="s">
        <v>374</v>
      </c>
      <c r="C125" s="447" t="s">
        <v>5699</v>
      </c>
      <c r="D125" s="491">
        <f>'CE MINISTERIALE 2019'!D125</f>
        <v>1000000</v>
      </c>
      <c r="E125" s="422"/>
      <c r="F125" s="423"/>
      <c r="G125" s="441"/>
      <c r="H125" s="441"/>
      <c r="J125" s="435"/>
      <c r="L125" s="441"/>
    </row>
    <row r="126" spans="1:12" s="448" customFormat="1" ht="24.95" customHeight="1">
      <c r="A126" s="679"/>
      <c r="B126" s="446" t="s">
        <v>376</v>
      </c>
      <c r="C126" s="447" t="s">
        <v>5700</v>
      </c>
      <c r="D126" s="491">
        <f>'CE MINISTERIALE 2019'!D126</f>
        <v>2000000</v>
      </c>
      <c r="E126" s="422"/>
      <c r="F126" s="423"/>
      <c r="G126" s="441"/>
      <c r="H126" s="441"/>
      <c r="J126" s="435"/>
      <c r="L126" s="441"/>
    </row>
    <row r="127" spans="1:12" s="448" customFormat="1" ht="24.95" customHeight="1">
      <c r="A127" s="677" t="s">
        <v>312</v>
      </c>
      <c r="B127" s="442" t="s">
        <v>1331</v>
      </c>
      <c r="C127" s="443" t="s">
        <v>5701</v>
      </c>
      <c r="D127" s="438">
        <f>'CE MINISTERIALE 2019'!D127</f>
        <v>0</v>
      </c>
      <c r="E127" s="422"/>
      <c r="F127" s="440"/>
      <c r="G127" s="441"/>
      <c r="H127" s="441"/>
      <c r="J127" s="435"/>
      <c r="L127" s="441"/>
    </row>
    <row r="128" spans="1:12" s="448" customFormat="1" ht="24.95" customHeight="1">
      <c r="A128" s="456" t="s">
        <v>312</v>
      </c>
      <c r="B128" s="446" t="s">
        <v>1333</v>
      </c>
      <c r="C128" s="447" t="s">
        <v>5702</v>
      </c>
      <c r="D128" s="491">
        <f>'CE MINISTERIALE 2019'!D128</f>
        <v>0</v>
      </c>
      <c r="E128" s="422"/>
      <c r="F128" s="423"/>
      <c r="G128" s="441"/>
      <c r="H128" s="441"/>
      <c r="J128" s="435"/>
      <c r="L128" s="441"/>
    </row>
    <row r="129" spans="1:12" s="448" customFormat="1" ht="24.95" customHeight="1">
      <c r="A129" s="456" t="s">
        <v>312</v>
      </c>
      <c r="B129" s="446" t="s">
        <v>380</v>
      </c>
      <c r="C129" s="447" t="s">
        <v>5703</v>
      </c>
      <c r="D129" s="491">
        <f>'CE MINISTERIALE 2019'!D129</f>
        <v>0</v>
      </c>
      <c r="E129" s="422"/>
      <c r="F129" s="423"/>
      <c r="G129" s="441"/>
      <c r="H129" s="441"/>
      <c r="J129" s="435"/>
      <c r="L129" s="441"/>
    </row>
    <row r="130" spans="1:12" s="448" customFormat="1" ht="24.95" customHeight="1">
      <c r="A130" s="456" t="s">
        <v>312</v>
      </c>
      <c r="B130" s="446" t="s">
        <v>382</v>
      </c>
      <c r="C130" s="447" t="s">
        <v>5704</v>
      </c>
      <c r="D130" s="491">
        <f>'CE MINISTERIALE 2019'!D130</f>
        <v>0</v>
      </c>
      <c r="E130" s="422"/>
      <c r="F130" s="423"/>
      <c r="G130" s="441"/>
      <c r="H130" s="441"/>
      <c r="J130" s="435"/>
      <c r="L130" s="441"/>
    </row>
    <row r="131" spans="1:12" s="457" customFormat="1" ht="24.95" customHeight="1">
      <c r="A131" s="456" t="s">
        <v>312</v>
      </c>
      <c r="B131" s="446" t="s">
        <v>4733</v>
      </c>
      <c r="C131" s="447" t="s">
        <v>5705</v>
      </c>
      <c r="D131" s="491">
        <f>'CE MINISTERIALE 2019'!D131</f>
        <v>0</v>
      </c>
      <c r="E131" s="422"/>
      <c r="F131" s="422"/>
      <c r="G131" s="441"/>
      <c r="H131" s="441"/>
      <c r="J131" s="435"/>
      <c r="L131" s="441"/>
    </row>
    <row r="132" spans="1:12" s="448" customFormat="1" ht="24.95" customHeight="1">
      <c r="A132" s="456"/>
      <c r="B132" s="442" t="s">
        <v>384</v>
      </c>
      <c r="C132" s="443" t="s">
        <v>3807</v>
      </c>
      <c r="D132" s="438">
        <f>'CE MINISTERIALE 2019'!D132</f>
        <v>4000000</v>
      </c>
      <c r="E132" s="422"/>
      <c r="F132" s="440"/>
      <c r="G132" s="441"/>
      <c r="H132" s="441"/>
      <c r="J132" s="435"/>
      <c r="L132" s="441"/>
    </row>
    <row r="133" spans="1:12" s="448" customFormat="1" ht="24.95" customHeight="1">
      <c r="A133" s="456"/>
      <c r="B133" s="446" t="s">
        <v>386</v>
      </c>
      <c r="C133" s="447" t="s">
        <v>5706</v>
      </c>
      <c r="D133" s="491">
        <f>'CE MINISTERIALE 2019'!D133</f>
        <v>3300000</v>
      </c>
      <c r="E133" s="422"/>
      <c r="F133" s="423"/>
      <c r="G133" s="441"/>
      <c r="H133" s="441"/>
      <c r="J133" s="435"/>
      <c r="L133" s="441"/>
    </row>
    <row r="134" spans="1:12" s="448" customFormat="1" ht="24.95" customHeight="1">
      <c r="A134" s="456"/>
      <c r="B134" s="446" t="s">
        <v>388</v>
      </c>
      <c r="C134" s="447" t="s">
        <v>5707</v>
      </c>
      <c r="D134" s="491">
        <f>'CE MINISTERIALE 2019'!D134</f>
        <v>0</v>
      </c>
      <c r="E134" s="422"/>
      <c r="F134" s="423"/>
      <c r="G134" s="441"/>
      <c r="H134" s="441"/>
      <c r="J134" s="435"/>
      <c r="L134" s="441"/>
    </row>
    <row r="135" spans="1:12" s="448" customFormat="1" ht="24.95" customHeight="1">
      <c r="A135" s="456"/>
      <c r="B135" s="446" t="s">
        <v>390</v>
      </c>
      <c r="C135" s="447" t="s">
        <v>3808</v>
      </c>
      <c r="D135" s="491">
        <f>'CE MINISTERIALE 2019'!D135</f>
        <v>700000</v>
      </c>
      <c r="E135" s="422"/>
      <c r="F135" s="423"/>
      <c r="G135" s="441"/>
      <c r="H135" s="441"/>
      <c r="J135" s="435"/>
      <c r="L135" s="441"/>
    </row>
    <row r="136" spans="1:12" s="448" customFormat="1" ht="24.95" customHeight="1">
      <c r="A136" s="456"/>
      <c r="B136" s="442" t="s">
        <v>392</v>
      </c>
      <c r="C136" s="443" t="s">
        <v>3809</v>
      </c>
      <c r="D136" s="438">
        <f>'CE MINISTERIALE 2019'!D136</f>
        <v>11455000</v>
      </c>
      <c r="E136" s="422"/>
      <c r="F136" s="440"/>
      <c r="G136" s="441"/>
      <c r="H136" s="441"/>
      <c r="J136" s="435"/>
      <c r="L136" s="441"/>
    </row>
    <row r="137" spans="1:12" s="448" customFormat="1" ht="24.95" customHeight="1">
      <c r="A137" s="456"/>
      <c r="B137" s="446" t="s">
        <v>394</v>
      </c>
      <c r="C137" s="447" t="s">
        <v>5708</v>
      </c>
      <c r="D137" s="438">
        <f>'CE MINISTERIALE 2019'!D137</f>
        <v>3000000</v>
      </c>
      <c r="E137" s="422"/>
      <c r="F137" s="440"/>
      <c r="G137" s="441"/>
      <c r="H137" s="441"/>
      <c r="J137" s="435"/>
      <c r="L137" s="441"/>
    </row>
    <row r="138" spans="1:12" s="448" customFormat="1" ht="24.95" customHeight="1">
      <c r="A138" s="456"/>
      <c r="B138" s="449" t="s">
        <v>396</v>
      </c>
      <c r="C138" s="450" t="s">
        <v>3810</v>
      </c>
      <c r="D138" s="491">
        <f>'CE MINISTERIALE 2019'!D138</f>
        <v>0</v>
      </c>
      <c r="E138" s="422"/>
      <c r="F138" s="423"/>
      <c r="G138" s="441"/>
      <c r="H138" s="441"/>
      <c r="J138" s="435"/>
      <c r="L138" s="441"/>
    </row>
    <row r="139" spans="1:12" s="448" customFormat="1" ht="24.95" customHeight="1">
      <c r="A139" s="456"/>
      <c r="B139" s="449" t="s">
        <v>398</v>
      </c>
      <c r="C139" s="450" t="s">
        <v>3811</v>
      </c>
      <c r="D139" s="491">
        <f>'CE MINISTERIALE 2019'!D139</f>
        <v>0</v>
      </c>
      <c r="E139" s="422"/>
      <c r="F139" s="423"/>
      <c r="G139" s="441"/>
      <c r="H139" s="441"/>
      <c r="J139" s="435"/>
      <c r="L139" s="441"/>
    </row>
    <row r="140" spans="1:12" s="448" customFormat="1" ht="24.95" customHeight="1">
      <c r="A140" s="456"/>
      <c r="B140" s="449" t="s">
        <v>400</v>
      </c>
      <c r="C140" s="450" t="s">
        <v>3812</v>
      </c>
      <c r="D140" s="491">
        <f>'CE MINISTERIALE 2019'!D140</f>
        <v>3000000</v>
      </c>
      <c r="E140" s="422"/>
      <c r="F140" s="423"/>
      <c r="G140" s="441"/>
      <c r="H140" s="441"/>
      <c r="J140" s="435"/>
      <c r="L140" s="441"/>
    </row>
    <row r="141" spans="1:12" s="423" customFormat="1" ht="24.95" customHeight="1">
      <c r="A141" s="453"/>
      <c r="B141" s="446" t="s">
        <v>4735</v>
      </c>
      <c r="C141" s="447" t="s">
        <v>5709</v>
      </c>
      <c r="D141" s="491">
        <f>'CE MINISTERIALE 2019'!D141</f>
        <v>0</v>
      </c>
      <c r="E141" s="422"/>
      <c r="G141" s="441"/>
      <c r="H141" s="441"/>
      <c r="J141" s="435"/>
      <c r="L141" s="441"/>
    </row>
    <row r="142" spans="1:12" s="423" customFormat="1" ht="24.95" customHeight="1">
      <c r="A142" s="453"/>
      <c r="B142" s="446" t="s">
        <v>402</v>
      </c>
      <c r="C142" s="447" t="s">
        <v>5710</v>
      </c>
      <c r="D142" s="491">
        <f>'CE MINISTERIALE 2019'!D142</f>
        <v>8455000</v>
      </c>
      <c r="E142" s="422"/>
      <c r="G142" s="441"/>
      <c r="H142" s="441"/>
      <c r="J142" s="435"/>
      <c r="L142" s="441"/>
    </row>
    <row r="143" spans="1:12" s="423" customFormat="1" ht="24.95" customHeight="1">
      <c r="A143" s="453"/>
      <c r="B143" s="436" t="s">
        <v>403</v>
      </c>
      <c r="C143" s="437" t="s">
        <v>5711</v>
      </c>
      <c r="D143" s="438">
        <f>'CE MINISTERIALE 2019'!D143</f>
        <v>20300000</v>
      </c>
      <c r="E143" s="422"/>
      <c r="F143" s="440"/>
      <c r="G143" s="441"/>
      <c r="H143" s="441"/>
      <c r="J143" s="435"/>
      <c r="L143" s="441"/>
    </row>
    <row r="144" spans="1:12" s="423" customFormat="1" ht="24.95" customHeight="1">
      <c r="A144" s="453"/>
      <c r="B144" s="442" t="s">
        <v>405</v>
      </c>
      <c r="C144" s="443" t="s">
        <v>5712</v>
      </c>
      <c r="D144" s="491">
        <f>'CE MINISTERIALE 2019'!D144</f>
        <v>18000000</v>
      </c>
      <c r="E144" s="422"/>
      <c r="G144" s="441"/>
      <c r="H144" s="441"/>
      <c r="J144" s="435"/>
      <c r="L144" s="441"/>
    </row>
    <row r="145" spans="1:12" s="448" customFormat="1" ht="24.95" customHeight="1">
      <c r="A145" s="456"/>
      <c r="B145" s="442" t="s">
        <v>406</v>
      </c>
      <c r="C145" s="443" t="s">
        <v>5713</v>
      </c>
      <c r="D145" s="491">
        <f>'CE MINISTERIALE 2019'!D145</f>
        <v>2000000</v>
      </c>
      <c r="E145" s="422"/>
      <c r="F145" s="423"/>
      <c r="G145" s="441"/>
      <c r="H145" s="441"/>
      <c r="J145" s="435"/>
      <c r="L145" s="441"/>
    </row>
    <row r="146" spans="1:12" s="448" customFormat="1" ht="24.95" customHeight="1">
      <c r="A146" s="456"/>
      <c r="B146" s="442" t="s">
        <v>408</v>
      </c>
      <c r="C146" s="443" t="s">
        <v>5714</v>
      </c>
      <c r="D146" s="491">
        <f>'CE MINISTERIALE 2019'!D146</f>
        <v>300000</v>
      </c>
      <c r="E146" s="422"/>
      <c r="F146" s="423"/>
      <c r="G146" s="441"/>
      <c r="H146" s="441"/>
      <c r="J146" s="435"/>
      <c r="L146" s="441"/>
    </row>
    <row r="147" spans="1:12" s="448" customFormat="1" ht="24.95" customHeight="1">
      <c r="A147" s="456"/>
      <c r="B147" s="436" t="s">
        <v>410</v>
      </c>
      <c r="C147" s="437" t="s">
        <v>3813</v>
      </c>
      <c r="D147" s="438">
        <f>'CE MINISTERIALE 2019'!D147</f>
        <v>25401000</v>
      </c>
      <c r="E147" s="422"/>
      <c r="F147" s="440"/>
      <c r="G147" s="441"/>
      <c r="H147" s="441"/>
      <c r="J147" s="435"/>
      <c r="L147" s="441"/>
    </row>
    <row r="148" spans="1:12" s="448" customFormat="1" ht="24.95" customHeight="1">
      <c r="A148" s="456"/>
      <c r="B148" s="442" t="s">
        <v>412</v>
      </c>
      <c r="C148" s="443" t="s">
        <v>3814</v>
      </c>
      <c r="D148" s="491">
        <f>'CE MINISTERIALE 2019'!D148</f>
        <v>0</v>
      </c>
      <c r="E148" s="422"/>
      <c r="F148" s="423"/>
      <c r="G148" s="441"/>
      <c r="H148" s="441"/>
      <c r="J148" s="435"/>
      <c r="L148" s="441"/>
    </row>
    <row r="149" spans="1:12" s="448" customFormat="1" ht="24.95" customHeight="1">
      <c r="A149" s="456"/>
      <c r="B149" s="442" t="s">
        <v>213</v>
      </c>
      <c r="C149" s="443" t="s">
        <v>3815</v>
      </c>
      <c r="D149" s="491">
        <f>'CE MINISTERIALE 2019'!D149</f>
        <v>23562000</v>
      </c>
      <c r="E149" s="422"/>
      <c r="F149" s="423"/>
      <c r="G149" s="441"/>
      <c r="H149" s="441"/>
      <c r="J149" s="435"/>
      <c r="L149" s="441"/>
    </row>
    <row r="150" spans="1:12" s="448" customFormat="1" ht="24.95" customHeight="1">
      <c r="A150" s="456"/>
      <c r="B150" s="442" t="s">
        <v>215</v>
      </c>
      <c r="C150" s="443" t="s">
        <v>3816</v>
      </c>
      <c r="D150" s="491">
        <f>'CE MINISTERIALE 2019'!D150</f>
        <v>1324000</v>
      </c>
      <c r="E150" s="422"/>
      <c r="F150" s="423"/>
      <c r="G150" s="441"/>
      <c r="H150" s="441"/>
      <c r="J150" s="435"/>
      <c r="L150" s="441"/>
    </row>
    <row r="151" spans="1:12" s="448" customFormat="1" ht="24.95" customHeight="1">
      <c r="A151" s="456"/>
      <c r="B151" s="442" t="s">
        <v>217</v>
      </c>
      <c r="C151" s="443" t="s">
        <v>3817</v>
      </c>
      <c r="D151" s="491">
        <f>'CE MINISTERIALE 2019'!D151</f>
        <v>62000</v>
      </c>
      <c r="E151" s="422"/>
      <c r="F151" s="423"/>
      <c r="G151" s="441"/>
      <c r="H151" s="441"/>
      <c r="J151" s="435"/>
      <c r="L151" s="441"/>
    </row>
    <row r="152" spans="1:12" s="448" customFormat="1" ht="24.95" customHeight="1">
      <c r="A152" s="456"/>
      <c r="B152" s="442" t="s">
        <v>219</v>
      </c>
      <c r="C152" s="443" t="s">
        <v>3818</v>
      </c>
      <c r="D152" s="491">
        <f>'CE MINISTERIALE 2019'!D152</f>
        <v>12000</v>
      </c>
      <c r="E152" s="422"/>
      <c r="F152" s="423"/>
      <c r="G152" s="441"/>
      <c r="H152" s="441"/>
      <c r="J152" s="435"/>
      <c r="L152" s="441"/>
    </row>
    <row r="153" spans="1:12" s="448" customFormat="1" ht="24.95" customHeight="1">
      <c r="A153" s="456"/>
      <c r="B153" s="442" t="s">
        <v>221</v>
      </c>
      <c r="C153" s="443" t="s">
        <v>3819</v>
      </c>
      <c r="D153" s="491">
        <f>'CE MINISTERIALE 2019'!D153</f>
        <v>441000</v>
      </c>
      <c r="E153" s="422"/>
      <c r="F153" s="423"/>
      <c r="G153" s="441"/>
      <c r="H153" s="441"/>
      <c r="J153" s="435"/>
      <c r="L153" s="441"/>
    </row>
    <row r="154" spans="1:12" s="448" customFormat="1" ht="24.95" customHeight="1">
      <c r="A154" s="456"/>
      <c r="B154" s="436" t="s">
        <v>223</v>
      </c>
      <c r="C154" s="437" t="s">
        <v>3820</v>
      </c>
      <c r="D154" s="491">
        <f>'CE MINISTERIALE 2019'!D154</f>
        <v>0</v>
      </c>
      <c r="E154" s="422"/>
      <c r="F154" s="423"/>
      <c r="G154" s="441"/>
      <c r="H154" s="441"/>
      <c r="J154" s="435"/>
      <c r="L154" s="441"/>
    </row>
    <row r="155" spans="1:12" s="448" customFormat="1" ht="24.95" customHeight="1">
      <c r="A155" s="456"/>
      <c r="B155" s="436" t="s">
        <v>225</v>
      </c>
      <c r="C155" s="437" t="s">
        <v>3821</v>
      </c>
      <c r="D155" s="438">
        <f>'CE MINISTERIALE 2019'!D155</f>
        <v>4783600</v>
      </c>
      <c r="E155" s="422"/>
      <c r="F155" s="440"/>
      <c r="G155" s="441"/>
      <c r="H155" s="441"/>
      <c r="J155" s="435"/>
      <c r="L155" s="441"/>
    </row>
    <row r="156" spans="1:12" s="448" customFormat="1" ht="24.95" customHeight="1">
      <c r="A156" s="456"/>
      <c r="B156" s="442" t="s">
        <v>227</v>
      </c>
      <c r="C156" s="443" t="s">
        <v>5715</v>
      </c>
      <c r="D156" s="491">
        <f>'CE MINISTERIALE 2019'!D156</f>
        <v>278600</v>
      </c>
      <c r="E156" s="422"/>
      <c r="F156" s="423"/>
      <c r="G156" s="441"/>
      <c r="H156" s="441"/>
      <c r="J156" s="435"/>
      <c r="L156" s="441"/>
    </row>
    <row r="157" spans="1:12" s="448" customFormat="1" ht="24.95" customHeight="1">
      <c r="A157" s="456"/>
      <c r="B157" s="442" t="s">
        <v>229</v>
      </c>
      <c r="C157" s="443" t="s">
        <v>3822</v>
      </c>
      <c r="D157" s="491">
        <f>'CE MINISTERIALE 2019'!D157</f>
        <v>1370000</v>
      </c>
      <c r="E157" s="422"/>
      <c r="F157" s="423"/>
      <c r="G157" s="441"/>
      <c r="H157" s="441"/>
      <c r="J157" s="435"/>
      <c r="L157" s="441"/>
    </row>
    <row r="158" spans="1:12" s="448" customFormat="1" ht="24.95" customHeight="1">
      <c r="A158" s="456"/>
      <c r="B158" s="442" t="s">
        <v>231</v>
      </c>
      <c r="C158" s="443" t="s">
        <v>3823</v>
      </c>
      <c r="D158" s="491">
        <f>'CE MINISTERIALE 2019'!D158</f>
        <v>3135000</v>
      </c>
      <c r="E158" s="422"/>
      <c r="F158" s="423"/>
      <c r="G158" s="441"/>
      <c r="H158" s="441"/>
      <c r="J158" s="435"/>
      <c r="L158" s="441"/>
    </row>
    <row r="159" spans="1:12" s="448" customFormat="1" ht="24.95" customHeight="1">
      <c r="A159" s="456"/>
      <c r="B159" s="436" t="s">
        <v>233</v>
      </c>
      <c r="C159" s="437" t="s">
        <v>3824</v>
      </c>
      <c r="D159" s="438">
        <f>'CE MINISTERIALE 2019'!D159</f>
        <v>1385555542.5699999</v>
      </c>
      <c r="E159" s="422"/>
      <c r="F159" s="440"/>
      <c r="G159" s="441"/>
      <c r="H159" s="441"/>
      <c r="J159" s="435"/>
      <c r="L159" s="441"/>
    </row>
    <row r="160" spans="1:12" s="448" customFormat="1" ht="24.95" customHeight="1">
      <c r="A160" s="456"/>
      <c r="B160" s="449"/>
      <c r="C160" s="458" t="s">
        <v>3825</v>
      </c>
      <c r="D160" s="438">
        <f>'CE MINISTERIALE 2019'!D160</f>
        <v>0</v>
      </c>
      <c r="E160" s="422"/>
      <c r="F160" s="423"/>
      <c r="G160" s="441"/>
      <c r="H160" s="441"/>
      <c r="J160" s="435"/>
      <c r="L160" s="441"/>
    </row>
    <row r="161" spans="1:12" s="448" customFormat="1" ht="24.95" customHeight="1">
      <c r="A161" s="456"/>
      <c r="B161" s="436" t="s">
        <v>236</v>
      </c>
      <c r="C161" s="437" t="s">
        <v>3826</v>
      </c>
      <c r="D161" s="438">
        <f>'CE MINISTERIALE 2019'!D161</f>
        <v>209161042.56999999</v>
      </c>
      <c r="E161" s="422"/>
      <c r="F161" s="440"/>
      <c r="G161" s="441"/>
      <c r="H161" s="441"/>
      <c r="J161" s="435"/>
      <c r="L161" s="441"/>
    </row>
    <row r="162" spans="1:12" s="448" customFormat="1" ht="24.95" customHeight="1">
      <c r="A162" s="456"/>
      <c r="B162" s="442" t="s">
        <v>238</v>
      </c>
      <c r="C162" s="443" t="s">
        <v>5716</v>
      </c>
      <c r="D162" s="438">
        <f>'CE MINISTERIALE 2019'!D162</f>
        <v>190041042.56999999</v>
      </c>
      <c r="E162" s="422"/>
      <c r="F162" s="440"/>
      <c r="G162" s="441"/>
      <c r="H162" s="441"/>
      <c r="J162" s="435"/>
      <c r="L162" s="441"/>
    </row>
    <row r="163" spans="1:12" s="448" customFormat="1" ht="24.95" customHeight="1">
      <c r="A163" s="456"/>
      <c r="B163" s="446" t="s">
        <v>1087</v>
      </c>
      <c r="C163" s="447" t="s">
        <v>3827</v>
      </c>
      <c r="D163" s="459">
        <f>'CE MINISTERIALE 2019'!D163</f>
        <v>106031042.56999999</v>
      </c>
      <c r="E163" s="422"/>
      <c r="F163" s="440"/>
      <c r="G163" s="441"/>
      <c r="H163" s="441"/>
      <c r="J163" s="435"/>
      <c r="L163" s="441"/>
    </row>
    <row r="164" spans="1:12" s="423" customFormat="1" ht="24.95" customHeight="1">
      <c r="A164" s="453"/>
      <c r="B164" s="449" t="s">
        <v>1089</v>
      </c>
      <c r="C164" s="450" t="s">
        <v>3828</v>
      </c>
      <c r="D164" s="491">
        <f>'CE MINISTERIALE 2019'!D164</f>
        <v>102675042.56999999</v>
      </c>
      <c r="E164" s="422"/>
      <c r="G164" s="441"/>
      <c r="H164" s="441"/>
      <c r="J164" s="435"/>
      <c r="L164" s="441"/>
    </row>
    <row r="165" spans="1:12" s="423" customFormat="1" ht="24.95" customHeight="1">
      <c r="A165" s="453"/>
      <c r="B165" s="449" t="s">
        <v>1091</v>
      </c>
      <c r="C165" s="450" t="s">
        <v>3829</v>
      </c>
      <c r="D165" s="491">
        <f>'CE MINISTERIALE 2019'!D165</f>
        <v>1497000</v>
      </c>
      <c r="E165" s="422"/>
      <c r="G165" s="441"/>
      <c r="H165" s="441"/>
      <c r="J165" s="435"/>
      <c r="L165" s="441"/>
    </row>
    <row r="166" spans="1:12" s="423" customFormat="1" ht="24.95" customHeight="1">
      <c r="A166" s="453"/>
      <c r="B166" s="449" t="s">
        <v>4740</v>
      </c>
      <c r="C166" s="450" t="s">
        <v>5717</v>
      </c>
      <c r="D166" s="491">
        <f>'CE MINISTERIALE 2019'!D166</f>
        <v>1859000</v>
      </c>
      <c r="E166" s="422"/>
      <c r="G166" s="441"/>
      <c r="H166" s="441"/>
      <c r="J166" s="435"/>
      <c r="L166" s="441"/>
    </row>
    <row r="167" spans="1:12" s="423" customFormat="1" ht="24.95" customHeight="1">
      <c r="A167" s="456"/>
      <c r="B167" s="449" t="s">
        <v>1093</v>
      </c>
      <c r="C167" s="450" t="s">
        <v>3830</v>
      </c>
      <c r="D167" s="459">
        <f>'CE MINISTERIALE 2019'!D167</f>
        <v>0</v>
      </c>
      <c r="E167" s="422"/>
      <c r="F167" s="440"/>
      <c r="G167" s="441"/>
      <c r="H167" s="441"/>
      <c r="J167" s="435"/>
      <c r="L167" s="441"/>
    </row>
    <row r="168" spans="1:12" s="422" customFormat="1" ht="24.95" customHeight="1">
      <c r="A168" s="453" t="s">
        <v>312</v>
      </c>
      <c r="B168" s="449" t="s">
        <v>4743</v>
      </c>
      <c r="C168" s="450" t="s">
        <v>5718</v>
      </c>
      <c r="D168" s="491">
        <f>'CE MINISTERIALE 2019'!D168</f>
        <v>0</v>
      </c>
      <c r="G168" s="441"/>
      <c r="H168" s="441"/>
      <c r="J168" s="435"/>
      <c r="L168" s="441"/>
    </row>
    <row r="169" spans="1:12" s="422" customFormat="1" ht="24.95" customHeight="1">
      <c r="A169" s="453" t="s">
        <v>1589</v>
      </c>
      <c r="B169" s="449" t="s">
        <v>4745</v>
      </c>
      <c r="C169" s="450" t="s">
        <v>5719</v>
      </c>
      <c r="D169" s="491">
        <f>'CE MINISTERIALE 2019'!D169</f>
        <v>0</v>
      </c>
      <c r="G169" s="441"/>
      <c r="H169" s="441"/>
      <c r="J169" s="435"/>
      <c r="L169" s="441"/>
    </row>
    <row r="170" spans="1:12" s="422" customFormat="1" ht="24.95" customHeight="1">
      <c r="A170" s="453"/>
      <c r="B170" s="449" t="s">
        <v>4747</v>
      </c>
      <c r="C170" s="450" t="s">
        <v>5720</v>
      </c>
      <c r="D170" s="491">
        <f>'CE MINISTERIALE 2019'!D170</f>
        <v>0</v>
      </c>
      <c r="G170" s="441"/>
      <c r="H170" s="441"/>
      <c r="J170" s="435"/>
      <c r="L170" s="441"/>
    </row>
    <row r="171" spans="1:12" s="448" customFormat="1" ht="24.95" customHeight="1">
      <c r="A171" s="456"/>
      <c r="B171" s="446" t="s">
        <v>1094</v>
      </c>
      <c r="C171" s="447" t="s">
        <v>3831</v>
      </c>
      <c r="D171" s="459">
        <f>'CE MINISTERIALE 2019'!D171</f>
        <v>44000</v>
      </c>
      <c r="E171" s="422"/>
      <c r="F171" s="440"/>
      <c r="G171" s="441"/>
      <c r="H171" s="441"/>
      <c r="J171" s="435"/>
      <c r="L171" s="441"/>
    </row>
    <row r="172" spans="1:12" s="448" customFormat="1" ht="24.95" customHeight="1">
      <c r="A172" s="456" t="s">
        <v>312</v>
      </c>
      <c r="B172" s="449" t="s">
        <v>1096</v>
      </c>
      <c r="C172" s="450" t="s">
        <v>3832</v>
      </c>
      <c r="D172" s="491">
        <f>'CE MINISTERIALE 2019'!D172</f>
        <v>0</v>
      </c>
      <c r="E172" s="422"/>
      <c r="F172" s="423"/>
      <c r="G172" s="441"/>
      <c r="H172" s="441"/>
      <c r="J172" s="435"/>
      <c r="L172" s="441"/>
    </row>
    <row r="173" spans="1:12" s="448" customFormat="1" ht="24.95" customHeight="1">
      <c r="A173" s="456" t="s">
        <v>1589</v>
      </c>
      <c r="B173" s="449" t="s">
        <v>1098</v>
      </c>
      <c r="C173" s="450" t="s">
        <v>3833</v>
      </c>
      <c r="D173" s="491">
        <f>'CE MINISTERIALE 2019'!D173</f>
        <v>44000</v>
      </c>
      <c r="E173" s="422"/>
      <c r="F173" s="423"/>
      <c r="G173" s="441"/>
      <c r="H173" s="441"/>
      <c r="J173" s="435"/>
      <c r="L173" s="441"/>
    </row>
    <row r="174" spans="1:12" s="448" customFormat="1" ht="24.95" customHeight="1">
      <c r="A174" s="456"/>
      <c r="B174" s="449" t="s">
        <v>1100</v>
      </c>
      <c r="C174" s="450" t="s">
        <v>3834</v>
      </c>
      <c r="D174" s="491">
        <f>'CE MINISTERIALE 2019'!D174</f>
        <v>0</v>
      </c>
      <c r="E174" s="422"/>
      <c r="F174" s="423"/>
      <c r="G174" s="441"/>
      <c r="H174" s="441"/>
      <c r="J174" s="435"/>
      <c r="L174" s="441"/>
    </row>
    <row r="175" spans="1:12" s="448" customFormat="1" ht="24.95" customHeight="1">
      <c r="A175" s="456"/>
      <c r="B175" s="446" t="s">
        <v>1102</v>
      </c>
      <c r="C175" s="447" t="s">
        <v>3835</v>
      </c>
      <c r="D175" s="459">
        <f>'CE MINISTERIALE 2019'!D175</f>
        <v>71005000</v>
      </c>
      <c r="E175" s="457"/>
      <c r="F175" s="441"/>
      <c r="G175" s="441"/>
      <c r="H175" s="441"/>
      <c r="J175" s="435"/>
      <c r="L175" s="441"/>
    </row>
    <row r="176" spans="1:12" s="448" customFormat="1" ht="24.95" customHeight="1">
      <c r="A176" s="456"/>
      <c r="B176" s="449" t="s">
        <v>1104</v>
      </c>
      <c r="C176" s="450" t="s">
        <v>3836</v>
      </c>
      <c r="D176" s="491">
        <f>'CE MINISTERIALE 2019'!D176</f>
        <v>51774000</v>
      </c>
      <c r="E176" s="422"/>
      <c r="F176" s="423"/>
      <c r="G176" s="441"/>
      <c r="H176" s="441"/>
      <c r="J176" s="435"/>
      <c r="L176" s="441"/>
    </row>
    <row r="177" spans="1:12" s="448" customFormat="1" ht="24.95" customHeight="1">
      <c r="A177" s="456"/>
      <c r="B177" s="449" t="s">
        <v>1106</v>
      </c>
      <c r="C177" s="450" t="s">
        <v>3837</v>
      </c>
      <c r="D177" s="491">
        <f>'CE MINISTERIALE 2019'!D177</f>
        <v>2699000</v>
      </c>
      <c r="E177" s="422"/>
      <c r="F177" s="423"/>
      <c r="G177" s="441"/>
      <c r="H177" s="441"/>
      <c r="J177" s="435"/>
      <c r="L177" s="441"/>
    </row>
    <row r="178" spans="1:12" s="448" customFormat="1" ht="24.95" customHeight="1">
      <c r="A178" s="456"/>
      <c r="B178" s="449" t="s">
        <v>1108</v>
      </c>
      <c r="C178" s="450" t="s">
        <v>3838</v>
      </c>
      <c r="D178" s="491">
        <f>'CE MINISTERIALE 2019'!D178</f>
        <v>16532000</v>
      </c>
      <c r="E178" s="422"/>
      <c r="F178" s="423"/>
      <c r="G178" s="441"/>
      <c r="H178" s="441"/>
      <c r="J178" s="435"/>
      <c r="L178" s="441"/>
    </row>
    <row r="179" spans="1:12" s="448" customFormat="1" ht="24.95" customHeight="1">
      <c r="A179" s="456"/>
      <c r="B179" s="446" t="s">
        <v>1110</v>
      </c>
      <c r="C179" s="447" t="s">
        <v>3839</v>
      </c>
      <c r="D179" s="491">
        <f>'CE MINISTERIALE 2019'!D179</f>
        <v>866000</v>
      </c>
      <c r="E179" s="457"/>
      <c r="G179" s="441"/>
      <c r="H179" s="441"/>
      <c r="J179" s="435"/>
      <c r="L179" s="441"/>
    </row>
    <row r="180" spans="1:12" s="448" customFormat="1" ht="24.95" customHeight="1">
      <c r="A180" s="456"/>
      <c r="B180" s="446" t="s">
        <v>1112</v>
      </c>
      <c r="C180" s="447" t="s">
        <v>3840</v>
      </c>
      <c r="D180" s="491">
        <f>'CE MINISTERIALE 2019'!D180</f>
        <v>7633000</v>
      </c>
      <c r="E180" s="457"/>
      <c r="G180" s="441"/>
      <c r="H180" s="441"/>
      <c r="J180" s="435"/>
      <c r="L180" s="441"/>
    </row>
    <row r="181" spans="1:12" s="448" customFormat="1" ht="24.95" customHeight="1">
      <c r="A181" s="456"/>
      <c r="B181" s="446" t="s">
        <v>1114</v>
      </c>
      <c r="C181" s="447" t="s">
        <v>3841</v>
      </c>
      <c r="D181" s="491">
        <f>'CE MINISTERIALE 2019'!D181</f>
        <v>105000</v>
      </c>
      <c r="E181" s="457"/>
      <c r="G181" s="441"/>
      <c r="H181" s="441"/>
      <c r="J181" s="435"/>
      <c r="L181" s="441"/>
    </row>
    <row r="182" spans="1:12" s="448" customFormat="1" ht="24.95" customHeight="1">
      <c r="A182" s="456"/>
      <c r="B182" s="446" t="s">
        <v>1116</v>
      </c>
      <c r="C182" s="447" t="s">
        <v>5721</v>
      </c>
      <c r="D182" s="491">
        <f>'CE MINISTERIALE 2019'!D182</f>
        <v>38000</v>
      </c>
      <c r="E182" s="457"/>
      <c r="G182" s="441"/>
      <c r="H182" s="441"/>
      <c r="J182" s="435"/>
      <c r="L182" s="441"/>
    </row>
    <row r="183" spans="1:12" s="448" customFormat="1" ht="24.95" customHeight="1">
      <c r="A183" s="456"/>
      <c r="B183" s="446" t="s">
        <v>1118</v>
      </c>
      <c r="C183" s="447" t="s">
        <v>5722</v>
      </c>
      <c r="D183" s="491">
        <f>'CE MINISTERIALE 2019'!D183</f>
        <v>4319000</v>
      </c>
      <c r="E183" s="457"/>
      <c r="G183" s="441"/>
      <c r="H183" s="441"/>
      <c r="J183" s="435"/>
      <c r="L183" s="441"/>
    </row>
    <row r="184" spans="1:12" s="448" customFormat="1" ht="24.95" customHeight="1">
      <c r="A184" s="456" t="s">
        <v>312</v>
      </c>
      <c r="B184" s="446" t="s">
        <v>1120</v>
      </c>
      <c r="C184" s="447" t="s">
        <v>5723</v>
      </c>
      <c r="D184" s="459">
        <f>'CE MINISTERIALE 2019'!D184</f>
        <v>0</v>
      </c>
      <c r="E184" s="457"/>
      <c r="J184" s="435"/>
      <c r="L184" s="441"/>
    </row>
    <row r="185" spans="1:12" s="457" customFormat="1" ht="24.95" customHeight="1">
      <c r="A185" s="456" t="s">
        <v>312</v>
      </c>
      <c r="B185" s="446" t="s">
        <v>4749</v>
      </c>
      <c r="C185" s="447" t="s">
        <v>5724</v>
      </c>
      <c r="D185" s="491">
        <f>'CE MINISTERIALE 2019'!D185</f>
        <v>0</v>
      </c>
      <c r="J185" s="435"/>
      <c r="L185" s="441"/>
    </row>
    <row r="186" spans="1:12" s="457" customFormat="1" ht="24.95" customHeight="1">
      <c r="A186" s="680"/>
      <c r="B186" s="460"/>
      <c r="C186" s="461"/>
      <c r="D186" s="462">
        <f>'CE MINISTERIALE 2019'!D186</f>
        <v>0</v>
      </c>
      <c r="J186" s="435"/>
      <c r="L186" s="441"/>
    </row>
    <row r="187" spans="1:12" s="457" customFormat="1" ht="24.95" customHeight="1">
      <c r="A187" s="456" t="s">
        <v>312</v>
      </c>
      <c r="B187" s="446" t="s">
        <v>4751</v>
      </c>
      <c r="C187" s="447" t="s">
        <v>5725</v>
      </c>
      <c r="D187" s="491">
        <f>'CE MINISTERIALE 2019'!D187</f>
        <v>0</v>
      </c>
      <c r="J187" s="435"/>
      <c r="L187" s="441"/>
    </row>
    <row r="188" spans="1:12" s="457" customFormat="1" ht="24.95" customHeight="1">
      <c r="A188" s="456" t="s">
        <v>312</v>
      </c>
      <c r="B188" s="446" t="s">
        <v>4753</v>
      </c>
      <c r="C188" s="447" t="s">
        <v>5726</v>
      </c>
      <c r="D188" s="491">
        <f>'CE MINISTERIALE 2019'!D188</f>
        <v>0</v>
      </c>
      <c r="J188" s="435"/>
      <c r="L188" s="441"/>
    </row>
    <row r="189" spans="1:12" s="457" customFormat="1" ht="24.95" customHeight="1">
      <c r="A189" s="456" t="s">
        <v>312</v>
      </c>
      <c r="B189" s="446" t="s">
        <v>4755</v>
      </c>
      <c r="C189" s="447" t="s">
        <v>5727</v>
      </c>
      <c r="D189" s="491">
        <f>'CE MINISTERIALE 2019'!D189</f>
        <v>0</v>
      </c>
      <c r="J189" s="435"/>
      <c r="L189" s="441"/>
    </row>
    <row r="190" spans="1:12" s="457" customFormat="1" ht="24.95" customHeight="1">
      <c r="A190" s="456" t="s">
        <v>312</v>
      </c>
      <c r="B190" s="446" t="s">
        <v>4757</v>
      </c>
      <c r="C190" s="447" t="s">
        <v>5728</v>
      </c>
      <c r="D190" s="491">
        <f>'CE MINISTERIALE 2019'!D190</f>
        <v>0</v>
      </c>
      <c r="J190" s="435"/>
      <c r="L190" s="441"/>
    </row>
    <row r="191" spans="1:12" s="457" customFormat="1" ht="24.95" customHeight="1">
      <c r="A191" s="456" t="s">
        <v>312</v>
      </c>
      <c r="B191" s="446" t="s">
        <v>4759</v>
      </c>
      <c r="C191" s="447" t="s">
        <v>5729</v>
      </c>
      <c r="D191" s="491">
        <f>'CE MINISTERIALE 2019'!D191</f>
        <v>0</v>
      </c>
      <c r="J191" s="435"/>
      <c r="L191" s="441"/>
    </row>
    <row r="192" spans="1:12" s="457" customFormat="1" ht="24.95" customHeight="1">
      <c r="A192" s="456" t="s">
        <v>312</v>
      </c>
      <c r="B192" s="446" t="s">
        <v>4761</v>
      </c>
      <c r="C192" s="447" t="s">
        <v>5730</v>
      </c>
      <c r="D192" s="491">
        <f>'CE MINISTERIALE 2019'!D192</f>
        <v>0</v>
      </c>
      <c r="J192" s="435"/>
      <c r="L192" s="441"/>
    </row>
    <row r="193" spans="1:12" s="448" customFormat="1" ht="24.95" customHeight="1">
      <c r="A193" s="456"/>
      <c r="B193" s="442" t="s">
        <v>1122</v>
      </c>
      <c r="C193" s="443" t="s">
        <v>5731</v>
      </c>
      <c r="D193" s="438">
        <f>'CE MINISTERIALE 2019'!D193</f>
        <v>19120000</v>
      </c>
      <c r="E193" s="422"/>
      <c r="F193" s="440"/>
      <c r="G193" s="441"/>
      <c r="H193" s="441"/>
      <c r="J193" s="435"/>
      <c r="L193" s="441"/>
    </row>
    <row r="194" spans="1:12" s="448" customFormat="1" ht="24.95" customHeight="1">
      <c r="A194" s="456"/>
      <c r="B194" s="446" t="s">
        <v>1124</v>
      </c>
      <c r="C194" s="447" t="s">
        <v>3842</v>
      </c>
      <c r="D194" s="491">
        <f>'CE MINISTERIALE 2019'!D194</f>
        <v>4864000</v>
      </c>
      <c r="E194" s="422"/>
      <c r="F194" s="423"/>
      <c r="G194" s="441"/>
      <c r="H194" s="441"/>
      <c r="J194" s="435"/>
      <c r="L194" s="441"/>
    </row>
    <row r="195" spans="1:12" s="448" customFormat="1" ht="24.95" customHeight="1">
      <c r="A195" s="456"/>
      <c r="B195" s="446" t="s">
        <v>1126</v>
      </c>
      <c r="C195" s="447" t="s">
        <v>3843</v>
      </c>
      <c r="D195" s="491">
        <f>'CE MINISTERIALE 2019'!D195</f>
        <v>3023000</v>
      </c>
      <c r="E195" s="422"/>
      <c r="F195" s="423"/>
      <c r="G195" s="441"/>
      <c r="H195" s="441"/>
      <c r="J195" s="435"/>
      <c r="L195" s="441"/>
    </row>
    <row r="196" spans="1:12" s="448" customFormat="1" ht="24.95" customHeight="1">
      <c r="A196" s="456"/>
      <c r="B196" s="446" t="s">
        <v>1128</v>
      </c>
      <c r="C196" s="447" t="s">
        <v>3844</v>
      </c>
      <c r="D196" s="491">
        <f>'CE MINISTERIALE 2019'!D196</f>
        <v>5977000</v>
      </c>
      <c r="E196" s="422"/>
      <c r="F196" s="423"/>
      <c r="G196" s="441"/>
      <c r="H196" s="441"/>
      <c r="J196" s="435"/>
      <c r="L196" s="441"/>
    </row>
    <row r="197" spans="1:12" s="448" customFormat="1" ht="24.95" customHeight="1">
      <c r="A197" s="456"/>
      <c r="B197" s="446" t="s">
        <v>1728</v>
      </c>
      <c r="C197" s="447" t="s">
        <v>5732</v>
      </c>
      <c r="D197" s="491">
        <f>'CE MINISTERIALE 2019'!D197</f>
        <v>1600000</v>
      </c>
      <c r="E197" s="422"/>
      <c r="F197" s="423"/>
      <c r="G197" s="441"/>
      <c r="H197" s="441"/>
      <c r="J197" s="435"/>
      <c r="L197" s="441"/>
    </row>
    <row r="198" spans="1:12" s="448" customFormat="1" ht="24.95" customHeight="1">
      <c r="A198" s="456"/>
      <c r="B198" s="446" t="s">
        <v>1730</v>
      </c>
      <c r="C198" s="447" t="s">
        <v>3845</v>
      </c>
      <c r="D198" s="491">
        <f>'CE MINISTERIALE 2019'!D198</f>
        <v>3278000</v>
      </c>
      <c r="E198" s="422"/>
      <c r="F198" s="423"/>
      <c r="G198" s="441"/>
      <c r="H198" s="441"/>
      <c r="J198" s="435"/>
      <c r="L198" s="441"/>
    </row>
    <row r="199" spans="1:12" s="448" customFormat="1" ht="24.95" customHeight="1">
      <c r="A199" s="456"/>
      <c r="B199" s="446" t="s">
        <v>1732</v>
      </c>
      <c r="C199" s="447" t="s">
        <v>5733</v>
      </c>
      <c r="D199" s="491">
        <f>'CE MINISTERIALE 2019'!D199</f>
        <v>378000</v>
      </c>
      <c r="E199" s="422"/>
      <c r="F199" s="423"/>
      <c r="G199" s="441"/>
      <c r="H199" s="441"/>
      <c r="J199" s="435"/>
      <c r="L199" s="441"/>
    </row>
    <row r="200" spans="1:12" s="448" customFormat="1" ht="24.95" customHeight="1">
      <c r="A200" s="456" t="s">
        <v>312</v>
      </c>
      <c r="B200" s="446" t="s">
        <v>1734</v>
      </c>
      <c r="C200" s="447" t="s">
        <v>5734</v>
      </c>
      <c r="D200" s="491">
        <f>'CE MINISTERIALE 2019'!D200</f>
        <v>0</v>
      </c>
      <c r="E200" s="422"/>
      <c r="F200" s="423"/>
      <c r="G200" s="441"/>
      <c r="H200" s="441"/>
      <c r="J200" s="435"/>
      <c r="L200" s="441"/>
    </row>
    <row r="201" spans="1:12" s="448" customFormat="1" ht="24.95" customHeight="1">
      <c r="A201" s="456"/>
      <c r="B201" s="436" t="s">
        <v>1736</v>
      </c>
      <c r="C201" s="437" t="s">
        <v>3846</v>
      </c>
      <c r="D201" s="438">
        <f>'CE MINISTERIALE 2019'!D201</f>
        <v>426871500</v>
      </c>
      <c r="E201" s="422"/>
      <c r="F201" s="440"/>
      <c r="G201" s="441"/>
      <c r="H201" s="441"/>
      <c r="J201" s="435"/>
      <c r="L201" s="441"/>
    </row>
    <row r="202" spans="1:12" s="448" customFormat="1" ht="24.95" customHeight="1">
      <c r="A202" s="456"/>
      <c r="B202" s="442" t="s">
        <v>1738</v>
      </c>
      <c r="C202" s="443" t="s">
        <v>5735</v>
      </c>
      <c r="D202" s="438">
        <f>'CE MINISTERIALE 2019'!D202</f>
        <v>357006000</v>
      </c>
      <c r="E202" s="422"/>
      <c r="F202" s="440"/>
      <c r="G202" s="441"/>
      <c r="H202" s="441"/>
      <c r="J202" s="435"/>
      <c r="L202" s="441"/>
    </row>
    <row r="203" spans="1:12" s="448" customFormat="1" ht="24.95" customHeight="1">
      <c r="A203" s="456"/>
      <c r="B203" s="442" t="s">
        <v>1740</v>
      </c>
      <c r="C203" s="443" t="s">
        <v>5736</v>
      </c>
      <c r="D203" s="438">
        <f>'CE MINISTERIALE 2019'!D203</f>
        <v>65820000</v>
      </c>
      <c r="E203" s="422"/>
      <c r="F203" s="440"/>
      <c r="G203" s="441"/>
      <c r="H203" s="441"/>
      <c r="J203" s="435"/>
      <c r="L203" s="441"/>
    </row>
    <row r="204" spans="1:12" s="448" customFormat="1" ht="24.95" customHeight="1">
      <c r="A204" s="456"/>
      <c r="B204" s="446" t="s">
        <v>1742</v>
      </c>
      <c r="C204" s="447" t="s">
        <v>3847</v>
      </c>
      <c r="D204" s="438">
        <f>'CE MINISTERIALE 2019'!D204</f>
        <v>65655000</v>
      </c>
      <c r="E204" s="422"/>
      <c r="F204" s="440"/>
      <c r="G204" s="441"/>
      <c r="H204" s="441"/>
      <c r="J204" s="435"/>
      <c r="L204" s="441"/>
    </row>
    <row r="205" spans="1:12" s="448" customFormat="1" ht="24.95" customHeight="1">
      <c r="A205" s="456"/>
      <c r="B205" s="446" t="s">
        <v>1743</v>
      </c>
      <c r="C205" s="447" t="s">
        <v>3848</v>
      </c>
      <c r="D205" s="491">
        <f>'CE MINISTERIALE 2019'!D205</f>
        <v>45098000</v>
      </c>
      <c r="E205" s="422"/>
      <c r="F205" s="423"/>
      <c r="G205" s="441"/>
      <c r="H205" s="441"/>
      <c r="J205" s="435"/>
      <c r="L205" s="441"/>
    </row>
    <row r="206" spans="1:12" s="448" customFormat="1" ht="24.95" customHeight="1">
      <c r="A206" s="456"/>
      <c r="B206" s="446" t="s">
        <v>1745</v>
      </c>
      <c r="C206" s="447" t="s">
        <v>3849</v>
      </c>
      <c r="D206" s="491">
        <f>'CE MINISTERIALE 2019'!D206</f>
        <v>12412000</v>
      </c>
      <c r="E206" s="422"/>
      <c r="F206" s="423"/>
      <c r="G206" s="441"/>
      <c r="H206" s="441"/>
      <c r="J206" s="435"/>
      <c r="L206" s="441"/>
    </row>
    <row r="207" spans="1:12" s="448" customFormat="1" ht="24.95" customHeight="1">
      <c r="A207" s="456"/>
      <c r="B207" s="446" t="s">
        <v>1747</v>
      </c>
      <c r="C207" s="447" t="s">
        <v>3850</v>
      </c>
      <c r="D207" s="491">
        <f>'CE MINISTERIALE 2019'!D207</f>
        <v>7685000</v>
      </c>
      <c r="E207" s="422"/>
      <c r="F207" s="423"/>
      <c r="G207" s="441"/>
      <c r="H207" s="441"/>
      <c r="J207" s="435"/>
      <c r="L207" s="441"/>
    </row>
    <row r="208" spans="1:12" s="448" customFormat="1" ht="24.95" customHeight="1">
      <c r="A208" s="456"/>
      <c r="B208" s="446" t="s">
        <v>1749</v>
      </c>
      <c r="C208" s="447" t="s">
        <v>3851</v>
      </c>
      <c r="D208" s="491">
        <f>'CE MINISTERIALE 2019'!D208</f>
        <v>460000</v>
      </c>
      <c r="E208" s="422"/>
      <c r="F208" s="423"/>
      <c r="G208" s="441"/>
      <c r="H208" s="441"/>
      <c r="J208" s="435"/>
      <c r="L208" s="441"/>
    </row>
    <row r="209" spans="1:12" s="448" customFormat="1" ht="24.95" customHeight="1">
      <c r="A209" s="456" t="s">
        <v>312</v>
      </c>
      <c r="B209" s="446" t="s">
        <v>1751</v>
      </c>
      <c r="C209" s="447" t="s">
        <v>3852</v>
      </c>
      <c r="D209" s="491">
        <f>'CE MINISTERIALE 2019'!D209</f>
        <v>0</v>
      </c>
      <c r="E209" s="422"/>
      <c r="F209" s="423"/>
      <c r="G209" s="441"/>
      <c r="H209" s="441"/>
      <c r="J209" s="435"/>
      <c r="L209" s="441"/>
    </row>
    <row r="210" spans="1:12" s="448" customFormat="1" ht="24.95" customHeight="1">
      <c r="A210" s="456" t="s">
        <v>1589</v>
      </c>
      <c r="B210" s="446" t="s">
        <v>1753</v>
      </c>
      <c r="C210" s="447" t="s">
        <v>3853</v>
      </c>
      <c r="D210" s="491">
        <f>'CE MINISTERIALE 2019'!D210</f>
        <v>165000</v>
      </c>
      <c r="E210" s="422"/>
      <c r="F210" s="423"/>
      <c r="G210" s="441"/>
      <c r="H210" s="441"/>
      <c r="J210" s="435"/>
      <c r="L210" s="441"/>
    </row>
    <row r="211" spans="1:12" s="448" customFormat="1" ht="24.95" customHeight="1">
      <c r="A211" s="456"/>
      <c r="B211" s="442" t="s">
        <v>1335</v>
      </c>
      <c r="C211" s="443" t="s">
        <v>5737</v>
      </c>
      <c r="D211" s="438">
        <f>'CE MINISTERIALE 2019'!D211</f>
        <v>45548000</v>
      </c>
      <c r="E211" s="422"/>
      <c r="F211" s="440"/>
      <c r="G211" s="441"/>
      <c r="H211" s="441"/>
      <c r="J211" s="435"/>
      <c r="L211" s="441"/>
    </row>
    <row r="212" spans="1:12" s="448" customFormat="1" ht="24.95" customHeight="1">
      <c r="A212" s="456"/>
      <c r="B212" s="446" t="s">
        <v>1337</v>
      </c>
      <c r="C212" s="447" t="s">
        <v>3854</v>
      </c>
      <c r="D212" s="491">
        <f>'CE MINISTERIALE 2019'!D212</f>
        <v>45073000</v>
      </c>
      <c r="E212" s="422"/>
      <c r="F212" s="423"/>
      <c r="G212" s="441"/>
      <c r="H212" s="441"/>
      <c r="J212" s="435"/>
      <c r="L212" s="441"/>
    </row>
    <row r="213" spans="1:12" s="448" customFormat="1" ht="24.95" customHeight="1">
      <c r="A213" s="456" t="s">
        <v>312</v>
      </c>
      <c r="B213" s="446" t="s">
        <v>1339</v>
      </c>
      <c r="C213" s="447" t="s">
        <v>3855</v>
      </c>
      <c r="D213" s="491">
        <f>'CE MINISTERIALE 2019'!D213</f>
        <v>0</v>
      </c>
      <c r="E213" s="422"/>
      <c r="F213" s="423"/>
      <c r="G213" s="441"/>
      <c r="H213" s="441"/>
      <c r="J213" s="435"/>
      <c r="L213" s="441"/>
    </row>
    <row r="214" spans="1:12" s="423" customFormat="1" ht="24.95" customHeight="1">
      <c r="A214" s="453" t="s">
        <v>1589</v>
      </c>
      <c r="B214" s="446" t="s">
        <v>1341</v>
      </c>
      <c r="C214" s="447" t="s">
        <v>3856</v>
      </c>
      <c r="D214" s="491">
        <f>'CE MINISTERIALE 2019'!D214</f>
        <v>475000</v>
      </c>
      <c r="E214" s="422"/>
      <c r="G214" s="441"/>
      <c r="H214" s="441"/>
      <c r="J214" s="435"/>
      <c r="L214" s="441"/>
    </row>
    <row r="215" spans="1:12" s="423" customFormat="1" ht="24.95" customHeight="1">
      <c r="A215" s="453"/>
      <c r="B215" s="442" t="s">
        <v>1343</v>
      </c>
      <c r="C215" s="443" t="s">
        <v>5738</v>
      </c>
      <c r="D215" s="438">
        <f>'CE MINISTERIALE 2019'!D215</f>
        <v>17553000</v>
      </c>
      <c r="E215" s="422"/>
      <c r="F215" s="440"/>
      <c r="G215" s="441"/>
      <c r="H215" s="441"/>
      <c r="J215" s="435"/>
      <c r="L215" s="441"/>
    </row>
    <row r="216" spans="1:12" s="423" customFormat="1" ht="24.95" customHeight="1">
      <c r="A216" s="681" t="s">
        <v>312</v>
      </c>
      <c r="B216" s="446" t="s">
        <v>1345</v>
      </c>
      <c r="C216" s="447" t="s">
        <v>3857</v>
      </c>
      <c r="D216" s="491">
        <f>'CE MINISTERIALE 2019'!D216</f>
        <v>0</v>
      </c>
      <c r="E216" s="422"/>
      <c r="G216" s="441"/>
      <c r="H216" s="441"/>
      <c r="J216" s="435"/>
      <c r="L216" s="441"/>
    </row>
    <row r="217" spans="1:12" s="422" customFormat="1" ht="24.95" customHeight="1">
      <c r="A217" s="681" t="s">
        <v>312</v>
      </c>
      <c r="B217" s="446" t="s">
        <v>4763</v>
      </c>
      <c r="C217" s="447" t="s">
        <v>5739</v>
      </c>
      <c r="D217" s="491">
        <f>'CE MINISTERIALE 2019'!D217</f>
        <v>0</v>
      </c>
      <c r="G217" s="441"/>
      <c r="H217" s="441"/>
      <c r="J217" s="435"/>
      <c r="L217" s="441"/>
    </row>
    <row r="218" spans="1:12" s="423" customFormat="1" ht="24.95" customHeight="1">
      <c r="A218" s="453"/>
      <c r="B218" s="446" t="s">
        <v>1347</v>
      </c>
      <c r="C218" s="447" t="s">
        <v>5740</v>
      </c>
      <c r="D218" s="491">
        <f>'CE MINISTERIALE 2019'!D218</f>
        <v>0</v>
      </c>
      <c r="E218" s="422"/>
      <c r="G218" s="441"/>
      <c r="H218" s="441"/>
      <c r="J218" s="435"/>
      <c r="L218" s="441"/>
    </row>
    <row r="219" spans="1:12" s="422" customFormat="1" ht="24.95" customHeight="1">
      <c r="A219" s="453"/>
      <c r="B219" s="446" t="s">
        <v>4766</v>
      </c>
      <c r="C219" s="447" t="s">
        <v>5741</v>
      </c>
      <c r="D219" s="491">
        <f>'CE MINISTERIALE 2019'!D219</f>
        <v>0</v>
      </c>
      <c r="G219" s="441"/>
      <c r="H219" s="441"/>
      <c r="J219" s="435"/>
      <c r="L219" s="441"/>
    </row>
    <row r="220" spans="1:12" s="423" customFormat="1" ht="24.95" customHeight="1">
      <c r="A220" s="453" t="s">
        <v>1589</v>
      </c>
      <c r="B220" s="446" t="s">
        <v>1348</v>
      </c>
      <c r="C220" s="447" t="s">
        <v>5742</v>
      </c>
      <c r="D220" s="491">
        <f>'CE MINISTERIALE 2019'!D220</f>
        <v>4281000</v>
      </c>
      <c r="E220" s="422"/>
      <c r="G220" s="441"/>
      <c r="H220" s="441"/>
      <c r="J220" s="435"/>
      <c r="L220" s="441"/>
    </row>
    <row r="221" spans="1:12" s="422" customFormat="1" ht="24.95" customHeight="1">
      <c r="A221" s="453" t="s">
        <v>1589</v>
      </c>
      <c r="B221" s="446" t="s">
        <v>4769</v>
      </c>
      <c r="C221" s="447" t="s">
        <v>5743</v>
      </c>
      <c r="D221" s="491">
        <f>'CE MINISTERIALE 2019'!D221</f>
        <v>0</v>
      </c>
      <c r="G221" s="441"/>
      <c r="H221" s="441"/>
      <c r="J221" s="435"/>
      <c r="L221" s="441"/>
    </row>
    <row r="222" spans="1:12" s="423" customFormat="1" ht="24.95" customHeight="1">
      <c r="A222" s="453"/>
      <c r="B222" s="446" t="s">
        <v>1349</v>
      </c>
      <c r="C222" s="447" t="s">
        <v>5744</v>
      </c>
      <c r="D222" s="491">
        <f>'CE MINISTERIALE 2019'!D222</f>
        <v>843000</v>
      </c>
      <c r="E222" s="422"/>
      <c r="G222" s="441"/>
      <c r="H222" s="441"/>
      <c r="J222" s="435"/>
      <c r="L222" s="441"/>
    </row>
    <row r="223" spans="1:12" s="423" customFormat="1" ht="24.95" customHeight="1">
      <c r="A223" s="453"/>
      <c r="B223" s="446" t="s">
        <v>1350</v>
      </c>
      <c r="C223" s="447" t="s">
        <v>5745</v>
      </c>
      <c r="D223" s="438">
        <f>'CE MINISTERIALE 2019'!D223</f>
        <v>12429000</v>
      </c>
      <c r="E223" s="422"/>
      <c r="F223" s="440"/>
      <c r="G223" s="441"/>
      <c r="H223" s="441"/>
      <c r="J223" s="435"/>
      <c r="L223" s="441"/>
    </row>
    <row r="224" spans="1:12" s="423" customFormat="1" ht="24.95" customHeight="1">
      <c r="A224" s="453"/>
      <c r="B224" s="449" t="s">
        <v>1351</v>
      </c>
      <c r="C224" s="450" t="s">
        <v>5746</v>
      </c>
      <c r="D224" s="491">
        <f>'CE MINISTERIALE 2019'!D224</f>
        <v>124000</v>
      </c>
      <c r="E224" s="422"/>
      <c r="G224" s="441"/>
      <c r="H224" s="441"/>
      <c r="J224" s="435"/>
      <c r="L224" s="441"/>
    </row>
    <row r="225" spans="1:12" s="423" customFormat="1" ht="24.95" customHeight="1">
      <c r="A225" s="453"/>
      <c r="B225" s="449" t="s">
        <v>4774</v>
      </c>
      <c r="C225" s="450" t="s">
        <v>5747</v>
      </c>
      <c r="D225" s="491">
        <f>'CE MINISTERIALE 2019'!D225</f>
        <v>0</v>
      </c>
      <c r="E225" s="422"/>
      <c r="G225" s="441"/>
      <c r="H225" s="441"/>
      <c r="J225" s="435"/>
      <c r="L225" s="441"/>
    </row>
    <row r="226" spans="1:12" s="423" customFormat="1" ht="24.95" customHeight="1">
      <c r="A226" s="453"/>
      <c r="B226" s="449" t="s">
        <v>1352</v>
      </c>
      <c r="C226" s="450" t="s">
        <v>5748</v>
      </c>
      <c r="D226" s="491">
        <f>'CE MINISTERIALE 2019'!D226</f>
        <v>0</v>
      </c>
      <c r="E226" s="422"/>
      <c r="G226" s="441"/>
      <c r="H226" s="441"/>
      <c r="J226" s="435"/>
      <c r="L226" s="441"/>
    </row>
    <row r="227" spans="1:12" s="423" customFormat="1" ht="24.95" customHeight="1">
      <c r="A227" s="453"/>
      <c r="B227" s="449" t="s">
        <v>4777</v>
      </c>
      <c r="C227" s="450" t="s">
        <v>5749</v>
      </c>
      <c r="D227" s="491">
        <f>'CE MINISTERIALE 2019'!D227</f>
        <v>5000</v>
      </c>
      <c r="E227" s="422"/>
      <c r="G227" s="441"/>
      <c r="H227" s="441"/>
      <c r="J227" s="435"/>
      <c r="L227" s="441"/>
    </row>
    <row r="228" spans="1:12" s="423" customFormat="1" ht="24.95" customHeight="1">
      <c r="A228" s="453"/>
      <c r="B228" s="449" t="s">
        <v>1353</v>
      </c>
      <c r="C228" s="450" t="s">
        <v>5750</v>
      </c>
      <c r="D228" s="491">
        <f>'CE MINISTERIALE 2019'!D228</f>
        <v>3700000</v>
      </c>
      <c r="E228" s="422"/>
      <c r="G228" s="441"/>
      <c r="H228" s="441"/>
      <c r="J228" s="435"/>
      <c r="L228" s="441"/>
    </row>
    <row r="229" spans="1:12" s="423" customFormat="1" ht="24.95" customHeight="1">
      <c r="A229" s="453"/>
      <c r="B229" s="449" t="s">
        <v>4780</v>
      </c>
      <c r="C229" s="450" t="s">
        <v>5751</v>
      </c>
      <c r="D229" s="491">
        <f>'CE MINISTERIALE 2019'!D229</f>
        <v>0</v>
      </c>
      <c r="E229" s="422"/>
      <c r="G229" s="441"/>
      <c r="H229" s="441"/>
      <c r="J229" s="435"/>
      <c r="L229" s="441"/>
    </row>
    <row r="230" spans="1:12" s="423" customFormat="1" ht="24.95" customHeight="1">
      <c r="A230" s="453"/>
      <c r="B230" s="449" t="s">
        <v>1354</v>
      </c>
      <c r="C230" s="450" t="s">
        <v>5752</v>
      </c>
      <c r="D230" s="491">
        <f>'CE MINISTERIALE 2019'!D230</f>
        <v>8488000</v>
      </c>
      <c r="E230" s="422"/>
      <c r="G230" s="441"/>
      <c r="H230" s="441"/>
      <c r="J230" s="435"/>
      <c r="L230" s="441"/>
    </row>
    <row r="231" spans="1:12" s="423" customFormat="1" ht="24.95" customHeight="1">
      <c r="A231" s="453"/>
      <c r="B231" s="449" t="s">
        <v>4783</v>
      </c>
      <c r="C231" s="450" t="s">
        <v>5753</v>
      </c>
      <c r="D231" s="491">
        <f>'CE MINISTERIALE 2019'!D231</f>
        <v>112000</v>
      </c>
      <c r="E231" s="422"/>
      <c r="G231" s="441"/>
      <c r="H231" s="441"/>
      <c r="J231" s="435"/>
      <c r="L231" s="441"/>
    </row>
    <row r="232" spans="1:12" s="423" customFormat="1" ht="24.95" customHeight="1">
      <c r="A232" s="453"/>
      <c r="B232" s="446" t="s">
        <v>1355</v>
      </c>
      <c r="C232" s="447" t="s">
        <v>5754</v>
      </c>
      <c r="D232" s="491">
        <f>'CE MINISTERIALE 2019'!D232</f>
        <v>0</v>
      </c>
      <c r="E232" s="422"/>
      <c r="G232" s="441"/>
      <c r="H232" s="441"/>
      <c r="J232" s="435"/>
      <c r="L232" s="441"/>
    </row>
    <row r="233" spans="1:12" s="423" customFormat="1" ht="24.95" customHeight="1">
      <c r="A233" s="453"/>
      <c r="B233" s="449" t="s">
        <v>4786</v>
      </c>
      <c r="C233" s="450" t="s">
        <v>5755</v>
      </c>
      <c r="D233" s="491">
        <f>'CE MINISTERIALE 2019'!D233</f>
        <v>0</v>
      </c>
      <c r="E233" s="422"/>
      <c r="G233" s="441"/>
      <c r="H233" s="441"/>
      <c r="J233" s="435"/>
      <c r="L233" s="441"/>
    </row>
    <row r="234" spans="1:12" s="448" customFormat="1" ht="24.95" customHeight="1">
      <c r="A234" s="456"/>
      <c r="B234" s="442" t="s">
        <v>1356</v>
      </c>
      <c r="C234" s="443" t="s">
        <v>5756</v>
      </c>
      <c r="D234" s="438">
        <f>'CE MINISTERIALE 2019'!D234</f>
        <v>112000</v>
      </c>
      <c r="E234" s="422"/>
      <c r="F234" s="440"/>
      <c r="G234" s="441"/>
      <c r="H234" s="441"/>
      <c r="J234" s="435"/>
      <c r="L234" s="441"/>
    </row>
    <row r="235" spans="1:12" s="448" customFormat="1" ht="24.95" customHeight="1">
      <c r="A235" s="456" t="s">
        <v>312</v>
      </c>
      <c r="B235" s="446" t="s">
        <v>1358</v>
      </c>
      <c r="C235" s="447" t="s">
        <v>3858</v>
      </c>
      <c r="D235" s="491">
        <f>'CE MINISTERIALE 2019'!D235</f>
        <v>0</v>
      </c>
      <c r="E235" s="422"/>
      <c r="F235" s="423"/>
      <c r="G235" s="441"/>
      <c r="H235" s="441"/>
      <c r="J235" s="435"/>
      <c r="L235" s="441"/>
    </row>
    <row r="236" spans="1:12" s="448" customFormat="1" ht="24.95" customHeight="1">
      <c r="A236" s="678"/>
      <c r="B236" s="446" t="s">
        <v>1360</v>
      </c>
      <c r="C236" s="447" t="s">
        <v>3859</v>
      </c>
      <c r="D236" s="491">
        <f>'CE MINISTERIALE 2019'!D236</f>
        <v>0</v>
      </c>
      <c r="E236" s="422"/>
      <c r="F236" s="423"/>
      <c r="G236" s="441"/>
      <c r="H236" s="441"/>
      <c r="J236" s="435"/>
      <c r="L236" s="441"/>
    </row>
    <row r="237" spans="1:12" s="448" customFormat="1" ht="24.95" customHeight="1">
      <c r="A237" s="678" t="s">
        <v>1594</v>
      </c>
      <c r="B237" s="446" t="s">
        <v>1362</v>
      </c>
      <c r="C237" s="447" t="s">
        <v>3860</v>
      </c>
      <c r="D237" s="491">
        <f>'CE MINISTERIALE 2019'!D237</f>
        <v>0</v>
      </c>
      <c r="E237" s="422"/>
      <c r="F237" s="423"/>
      <c r="G237" s="441"/>
      <c r="H237" s="441"/>
      <c r="J237" s="435"/>
      <c r="L237" s="441"/>
    </row>
    <row r="238" spans="1:12" s="448" customFormat="1" ht="24.95" customHeight="1">
      <c r="A238" s="678"/>
      <c r="B238" s="446" t="s">
        <v>42</v>
      </c>
      <c r="C238" s="447" t="s">
        <v>3861</v>
      </c>
      <c r="D238" s="491">
        <f>'CE MINISTERIALE 2019'!D238</f>
        <v>0</v>
      </c>
      <c r="E238" s="422"/>
      <c r="F238" s="423"/>
      <c r="G238" s="441"/>
      <c r="H238" s="441"/>
      <c r="J238" s="435"/>
      <c r="L238" s="441"/>
    </row>
    <row r="239" spans="1:12" s="448" customFormat="1" ht="24.95" customHeight="1">
      <c r="A239" s="678"/>
      <c r="B239" s="446" t="s">
        <v>44</v>
      </c>
      <c r="C239" s="447" t="s">
        <v>3862</v>
      </c>
      <c r="D239" s="491">
        <f>'CE MINISTERIALE 2019'!D239</f>
        <v>112000</v>
      </c>
      <c r="E239" s="422"/>
      <c r="F239" s="423"/>
      <c r="G239" s="441"/>
      <c r="H239" s="441"/>
      <c r="J239" s="435"/>
      <c r="L239" s="441"/>
    </row>
    <row r="240" spans="1:12" s="448" customFormat="1" ht="24.95" customHeight="1">
      <c r="A240" s="456"/>
      <c r="B240" s="442" t="s">
        <v>46</v>
      </c>
      <c r="C240" s="443" t="s">
        <v>5757</v>
      </c>
      <c r="D240" s="438">
        <f>'CE MINISTERIALE 2019'!D240</f>
        <v>28559000</v>
      </c>
      <c r="E240" s="422"/>
      <c r="F240" s="440"/>
      <c r="G240" s="441"/>
      <c r="H240" s="441"/>
      <c r="J240" s="435"/>
      <c r="L240" s="441"/>
    </row>
    <row r="241" spans="1:12" s="448" customFormat="1" ht="24.95" customHeight="1">
      <c r="A241" s="456" t="s">
        <v>312</v>
      </c>
      <c r="B241" s="446" t="s">
        <v>48</v>
      </c>
      <c r="C241" s="447" t="s">
        <v>3863</v>
      </c>
      <c r="D241" s="491">
        <f>'CE MINISTERIALE 2019'!D241</f>
        <v>0</v>
      </c>
      <c r="E241" s="422"/>
      <c r="F241" s="423"/>
      <c r="G241" s="441"/>
      <c r="H241" s="441"/>
      <c r="J241" s="435"/>
      <c r="L241" s="441"/>
    </row>
    <row r="242" spans="1:12" s="448" customFormat="1" ht="24.95" customHeight="1">
      <c r="A242" s="456"/>
      <c r="B242" s="446" t="s">
        <v>50</v>
      </c>
      <c r="C242" s="447" t="s">
        <v>3864</v>
      </c>
      <c r="D242" s="491">
        <f>'CE MINISTERIALE 2019'!D242</f>
        <v>1681000</v>
      </c>
      <c r="E242" s="422"/>
      <c r="F242" s="423"/>
      <c r="G242" s="441"/>
      <c r="H242" s="441"/>
      <c r="J242" s="435"/>
      <c r="L242" s="441"/>
    </row>
    <row r="243" spans="1:12" s="423" customFormat="1" ht="24.95" customHeight="1">
      <c r="A243" s="453" t="s">
        <v>1589</v>
      </c>
      <c r="B243" s="446" t="s">
        <v>52</v>
      </c>
      <c r="C243" s="447" t="s">
        <v>3865</v>
      </c>
      <c r="D243" s="491">
        <f>'CE MINISTERIALE 2019'!D243</f>
        <v>0</v>
      </c>
      <c r="E243" s="422"/>
      <c r="G243" s="441"/>
      <c r="H243" s="441"/>
      <c r="J243" s="435"/>
      <c r="L243" s="441"/>
    </row>
    <row r="244" spans="1:12" s="423" customFormat="1" ht="24.95" customHeight="1">
      <c r="A244" s="453"/>
      <c r="B244" s="446" t="s">
        <v>54</v>
      </c>
      <c r="C244" s="447" t="s">
        <v>3866</v>
      </c>
      <c r="D244" s="491">
        <f>'CE MINISTERIALE 2019'!D244</f>
        <v>26878000</v>
      </c>
      <c r="E244" s="422"/>
      <c r="G244" s="441"/>
      <c r="H244" s="441"/>
      <c r="J244" s="435"/>
      <c r="L244" s="441"/>
    </row>
    <row r="245" spans="1:12" s="423" customFormat="1" ht="24.95" customHeight="1">
      <c r="A245" s="453"/>
      <c r="B245" s="442" t="s">
        <v>56</v>
      </c>
      <c r="C245" s="443" t="s">
        <v>5758</v>
      </c>
      <c r="D245" s="438">
        <f>'CE MINISTERIALE 2019'!D245</f>
        <v>7786000</v>
      </c>
      <c r="E245" s="422"/>
      <c r="F245" s="440"/>
      <c r="G245" s="441"/>
      <c r="H245" s="441"/>
      <c r="J245" s="435"/>
      <c r="L245" s="441"/>
    </row>
    <row r="246" spans="1:12" s="423" customFormat="1" ht="24.95" customHeight="1">
      <c r="A246" s="453" t="s">
        <v>312</v>
      </c>
      <c r="B246" s="446" t="s">
        <v>58</v>
      </c>
      <c r="C246" s="447" t="s">
        <v>3867</v>
      </c>
      <c r="D246" s="491">
        <f>'CE MINISTERIALE 2019'!D246</f>
        <v>0</v>
      </c>
      <c r="E246" s="422"/>
      <c r="G246" s="441"/>
      <c r="H246" s="441"/>
      <c r="J246" s="435"/>
      <c r="L246" s="441"/>
    </row>
    <row r="247" spans="1:12" s="423" customFormat="1" ht="24.95" customHeight="1">
      <c r="A247" s="453"/>
      <c r="B247" s="446" t="s">
        <v>60</v>
      </c>
      <c r="C247" s="447" t="s">
        <v>3868</v>
      </c>
      <c r="D247" s="491">
        <f>'CE MINISTERIALE 2019'!D247</f>
        <v>0</v>
      </c>
      <c r="E247" s="422"/>
      <c r="G247" s="441"/>
      <c r="H247" s="441"/>
      <c r="J247" s="435"/>
      <c r="L247" s="441"/>
    </row>
    <row r="248" spans="1:12" s="423" customFormat="1" ht="24.95" customHeight="1">
      <c r="A248" s="453" t="s">
        <v>1589</v>
      </c>
      <c r="B248" s="446" t="s">
        <v>62</v>
      </c>
      <c r="C248" s="447" t="s">
        <v>3869</v>
      </c>
      <c r="D248" s="491">
        <f>'CE MINISTERIALE 2019'!D248</f>
        <v>0</v>
      </c>
      <c r="E248" s="422"/>
      <c r="G248" s="441"/>
      <c r="H248" s="441"/>
      <c r="J248" s="435"/>
      <c r="L248" s="441"/>
    </row>
    <row r="249" spans="1:12" s="423" customFormat="1" ht="24.95" customHeight="1">
      <c r="A249" s="453"/>
      <c r="B249" s="446" t="s">
        <v>64</v>
      </c>
      <c r="C249" s="447" t="s">
        <v>3870</v>
      </c>
      <c r="D249" s="491">
        <f>'CE MINISTERIALE 2019'!D249</f>
        <v>7786000</v>
      </c>
      <c r="E249" s="422"/>
      <c r="G249" s="441"/>
      <c r="H249" s="441"/>
      <c r="J249" s="435"/>
      <c r="L249" s="441"/>
    </row>
    <row r="250" spans="1:12" s="423" customFormat="1" ht="24.95" customHeight="1">
      <c r="A250" s="453"/>
      <c r="B250" s="442" t="s">
        <v>66</v>
      </c>
      <c r="C250" s="443" t="s">
        <v>5759</v>
      </c>
      <c r="D250" s="438">
        <f>'CE MINISTERIALE 2019'!D250</f>
        <v>49974000</v>
      </c>
      <c r="E250" s="422"/>
      <c r="F250" s="440"/>
      <c r="G250" s="441"/>
      <c r="H250" s="441"/>
      <c r="J250" s="435"/>
      <c r="L250" s="441"/>
    </row>
    <row r="251" spans="1:12" s="423" customFormat="1" ht="24.95" customHeight="1">
      <c r="A251" s="453" t="s">
        <v>312</v>
      </c>
      <c r="B251" s="446" t="s">
        <v>68</v>
      </c>
      <c r="C251" s="447" t="s">
        <v>3871</v>
      </c>
      <c r="D251" s="491">
        <f>'CE MINISTERIALE 2019'!D251</f>
        <v>0</v>
      </c>
      <c r="E251" s="422"/>
      <c r="G251" s="441"/>
      <c r="H251" s="441"/>
      <c r="J251" s="435"/>
      <c r="L251" s="441"/>
    </row>
    <row r="252" spans="1:12" s="423" customFormat="1" ht="24.95" customHeight="1">
      <c r="A252" s="453"/>
      <c r="B252" s="446" t="s">
        <v>70</v>
      </c>
      <c r="C252" s="447" t="s">
        <v>3872</v>
      </c>
      <c r="D252" s="491">
        <f>'CE MINISTERIALE 2019'!D252</f>
        <v>415000</v>
      </c>
      <c r="E252" s="422"/>
      <c r="G252" s="441"/>
      <c r="H252" s="441"/>
      <c r="J252" s="435"/>
      <c r="L252" s="441"/>
    </row>
    <row r="253" spans="1:12" s="423" customFormat="1" ht="24.95" customHeight="1">
      <c r="A253" s="453" t="s">
        <v>1589</v>
      </c>
      <c r="B253" s="446" t="s">
        <v>72</v>
      </c>
      <c r="C253" s="447" t="s">
        <v>3873</v>
      </c>
      <c r="D253" s="491">
        <f>'CE MINISTERIALE 2019'!D253</f>
        <v>20478000</v>
      </c>
      <c r="E253" s="422"/>
      <c r="G253" s="441"/>
      <c r="H253" s="441"/>
      <c r="J253" s="435"/>
      <c r="L253" s="441"/>
    </row>
    <row r="254" spans="1:12" s="423" customFormat="1" ht="24.95" customHeight="1">
      <c r="A254" s="453"/>
      <c r="B254" s="446" t="s">
        <v>74</v>
      </c>
      <c r="C254" s="447" t="s">
        <v>3874</v>
      </c>
      <c r="D254" s="438">
        <f>'CE MINISTERIALE 2019'!D254</f>
        <v>28571000</v>
      </c>
      <c r="E254" s="422"/>
      <c r="F254" s="440"/>
      <c r="G254" s="441"/>
      <c r="H254" s="441"/>
      <c r="J254" s="435"/>
      <c r="L254" s="441"/>
    </row>
    <row r="255" spans="1:12" s="423" customFormat="1" ht="24.95" customHeight="1">
      <c r="A255" s="453"/>
      <c r="B255" s="449" t="s">
        <v>76</v>
      </c>
      <c r="C255" s="450" t="s">
        <v>5760</v>
      </c>
      <c r="D255" s="491">
        <f>'CE MINISTERIALE 2019'!D255</f>
        <v>0</v>
      </c>
      <c r="E255" s="422"/>
      <c r="G255" s="441"/>
      <c r="H255" s="441"/>
      <c r="J255" s="435"/>
      <c r="L255" s="441"/>
    </row>
    <row r="256" spans="1:12" s="423" customFormat="1" ht="24.95" customHeight="1">
      <c r="A256" s="453"/>
      <c r="B256" s="449" t="s">
        <v>78</v>
      </c>
      <c r="C256" s="450" t="s">
        <v>5761</v>
      </c>
      <c r="D256" s="491">
        <f>'CE MINISTERIALE 2019'!D256</f>
        <v>0</v>
      </c>
      <c r="E256" s="422"/>
      <c r="G256" s="441"/>
      <c r="H256" s="441"/>
      <c r="J256" s="435"/>
      <c r="L256" s="441"/>
    </row>
    <row r="257" spans="1:12" s="423" customFormat="1" ht="24.95" customHeight="1">
      <c r="A257" s="453"/>
      <c r="B257" s="449" t="s">
        <v>595</v>
      </c>
      <c r="C257" s="450" t="s">
        <v>5762</v>
      </c>
      <c r="D257" s="491">
        <f>'CE MINISTERIALE 2019'!D257</f>
        <v>28571000</v>
      </c>
      <c r="E257" s="422"/>
      <c r="G257" s="441"/>
      <c r="H257" s="441"/>
      <c r="J257" s="435"/>
      <c r="L257" s="441"/>
    </row>
    <row r="258" spans="1:12" s="423" customFormat="1" ht="24.95" customHeight="1">
      <c r="A258" s="453"/>
      <c r="B258" s="449" t="s">
        <v>597</v>
      </c>
      <c r="C258" s="450" t="s">
        <v>5763</v>
      </c>
      <c r="D258" s="491">
        <f>'CE MINISTERIALE 2019'!D258</f>
        <v>0</v>
      </c>
      <c r="E258" s="422"/>
      <c r="G258" s="441"/>
      <c r="H258" s="441"/>
      <c r="J258" s="435"/>
      <c r="L258" s="441"/>
    </row>
    <row r="259" spans="1:12" s="423" customFormat="1" ht="24.95" customHeight="1">
      <c r="A259" s="453"/>
      <c r="B259" s="446" t="s">
        <v>599</v>
      </c>
      <c r="C259" s="447" t="s">
        <v>3875</v>
      </c>
      <c r="D259" s="491">
        <f>'CE MINISTERIALE 2019'!D259</f>
        <v>510000</v>
      </c>
      <c r="E259" s="422"/>
      <c r="G259" s="441"/>
      <c r="H259" s="441"/>
      <c r="J259" s="435"/>
      <c r="L259" s="441"/>
    </row>
    <row r="260" spans="1:12" s="423" customFormat="1" ht="24.95" customHeight="1">
      <c r="A260" s="453"/>
      <c r="B260" s="442" t="s">
        <v>601</v>
      </c>
      <c r="C260" s="443" t="s">
        <v>5764</v>
      </c>
      <c r="D260" s="438">
        <f>'CE MINISTERIALE 2019'!D260</f>
        <v>10171000</v>
      </c>
      <c r="E260" s="422"/>
      <c r="F260" s="440"/>
      <c r="G260" s="441"/>
      <c r="H260" s="441"/>
      <c r="J260" s="435"/>
      <c r="L260" s="441"/>
    </row>
    <row r="261" spans="1:12" s="423" customFormat="1" ht="24.95" customHeight="1">
      <c r="A261" s="453" t="s">
        <v>312</v>
      </c>
      <c r="B261" s="446" t="s">
        <v>603</v>
      </c>
      <c r="C261" s="447" t="s">
        <v>3876</v>
      </c>
      <c r="D261" s="491">
        <f>'CE MINISTERIALE 2019'!D261</f>
        <v>0</v>
      </c>
      <c r="E261" s="422"/>
      <c r="G261" s="441"/>
      <c r="H261" s="441"/>
      <c r="J261" s="435"/>
      <c r="L261" s="441"/>
    </row>
    <row r="262" spans="1:12" s="448" customFormat="1" ht="24.95" customHeight="1">
      <c r="A262" s="456"/>
      <c r="B262" s="446" t="s">
        <v>605</v>
      </c>
      <c r="C262" s="447" t="s">
        <v>3877</v>
      </c>
      <c r="D262" s="491">
        <f>'CE MINISTERIALE 2019'!D262</f>
        <v>971000</v>
      </c>
      <c r="E262" s="422"/>
      <c r="F262" s="423"/>
      <c r="G262" s="441"/>
      <c r="H262" s="441"/>
      <c r="J262" s="435"/>
      <c r="L262" s="441"/>
    </row>
    <row r="263" spans="1:12" s="448" customFormat="1" ht="24.95" customHeight="1">
      <c r="A263" s="456" t="s">
        <v>1594</v>
      </c>
      <c r="B263" s="446" t="s">
        <v>607</v>
      </c>
      <c r="C263" s="447" t="s">
        <v>5765</v>
      </c>
      <c r="D263" s="491">
        <f>'CE MINISTERIALE 2019'!D263</f>
        <v>1500000</v>
      </c>
      <c r="E263" s="422"/>
      <c r="F263" s="423"/>
      <c r="G263" s="441"/>
      <c r="H263" s="441"/>
      <c r="J263" s="435"/>
      <c r="L263" s="441"/>
    </row>
    <row r="264" spans="1:12" s="448" customFormat="1" ht="24.95" customHeight="1">
      <c r="A264" s="456"/>
      <c r="B264" s="446" t="s">
        <v>609</v>
      </c>
      <c r="C264" s="447" t="s">
        <v>3878</v>
      </c>
      <c r="D264" s="491">
        <f>'CE MINISTERIALE 2019'!D264</f>
        <v>3800000</v>
      </c>
      <c r="E264" s="422"/>
      <c r="F264" s="423"/>
      <c r="G264" s="441"/>
      <c r="H264" s="441"/>
      <c r="J264" s="435"/>
      <c r="L264" s="441"/>
    </row>
    <row r="265" spans="1:12" s="448" customFormat="1" ht="24.95" customHeight="1">
      <c r="A265" s="678"/>
      <c r="B265" s="446" t="s">
        <v>611</v>
      </c>
      <c r="C265" s="447" t="s">
        <v>5766</v>
      </c>
      <c r="D265" s="491">
        <f>'CE MINISTERIALE 2019'!D265</f>
        <v>3900000</v>
      </c>
      <c r="E265" s="422"/>
      <c r="F265" s="423"/>
      <c r="G265" s="441"/>
      <c r="H265" s="441"/>
      <c r="J265" s="435"/>
      <c r="L265" s="441"/>
    </row>
    <row r="266" spans="1:12" s="448" customFormat="1" ht="24.95" customHeight="1">
      <c r="A266" s="456"/>
      <c r="B266" s="442" t="s">
        <v>613</v>
      </c>
      <c r="C266" s="443" t="s">
        <v>5767</v>
      </c>
      <c r="D266" s="438">
        <f>'CE MINISTERIALE 2019'!D266</f>
        <v>2817000</v>
      </c>
      <c r="E266" s="422"/>
      <c r="F266" s="440"/>
      <c r="G266" s="441"/>
      <c r="H266" s="441"/>
      <c r="J266" s="435"/>
      <c r="L266" s="441"/>
    </row>
    <row r="267" spans="1:12" s="448" customFormat="1" ht="24.95" customHeight="1">
      <c r="A267" s="456" t="s">
        <v>312</v>
      </c>
      <c r="B267" s="446" t="s">
        <v>615</v>
      </c>
      <c r="C267" s="447" t="s">
        <v>3879</v>
      </c>
      <c r="D267" s="491">
        <f>'CE MINISTERIALE 2019'!D267</f>
        <v>0</v>
      </c>
      <c r="E267" s="422"/>
      <c r="F267" s="423"/>
      <c r="G267" s="441"/>
      <c r="H267" s="441"/>
      <c r="J267" s="435"/>
      <c r="L267" s="441"/>
    </row>
    <row r="268" spans="1:12" s="448" customFormat="1" ht="24.95" customHeight="1">
      <c r="A268" s="456"/>
      <c r="B268" s="446" t="s">
        <v>617</v>
      </c>
      <c r="C268" s="447" t="s">
        <v>3880</v>
      </c>
      <c r="D268" s="491">
        <f>'CE MINISTERIALE 2019'!D268</f>
        <v>85000</v>
      </c>
      <c r="E268" s="422"/>
      <c r="F268" s="423"/>
      <c r="G268" s="441"/>
      <c r="H268" s="441"/>
      <c r="J268" s="435"/>
      <c r="L268" s="441"/>
    </row>
    <row r="269" spans="1:12" s="448" customFormat="1" ht="24.95" customHeight="1">
      <c r="A269" s="456" t="s">
        <v>1589</v>
      </c>
      <c r="B269" s="446" t="s">
        <v>619</v>
      </c>
      <c r="C269" s="447" t="s">
        <v>3881</v>
      </c>
      <c r="D269" s="491">
        <f>'CE MINISTERIALE 2019'!D269</f>
        <v>1278000</v>
      </c>
      <c r="E269" s="422"/>
      <c r="F269" s="423"/>
      <c r="G269" s="441"/>
      <c r="H269" s="441"/>
      <c r="J269" s="435"/>
      <c r="L269" s="441"/>
    </row>
    <row r="270" spans="1:12" s="448" customFormat="1" ht="24.95" customHeight="1">
      <c r="A270" s="456"/>
      <c r="B270" s="446" t="s">
        <v>621</v>
      </c>
      <c r="C270" s="447" t="s">
        <v>3882</v>
      </c>
      <c r="D270" s="491">
        <f>'CE MINISTERIALE 2019'!D270</f>
        <v>1454000</v>
      </c>
      <c r="E270" s="422"/>
      <c r="F270" s="423"/>
      <c r="G270" s="441"/>
      <c r="H270" s="441"/>
      <c r="J270" s="435"/>
      <c r="L270" s="441"/>
    </row>
    <row r="271" spans="1:12" s="448" customFormat="1" ht="24.95" customHeight="1">
      <c r="A271" s="678"/>
      <c r="B271" s="446" t="s">
        <v>623</v>
      </c>
      <c r="C271" s="447" t="s">
        <v>3883</v>
      </c>
      <c r="D271" s="491">
        <f>'CE MINISTERIALE 2019'!D271</f>
        <v>0</v>
      </c>
      <c r="E271" s="422"/>
      <c r="F271" s="423"/>
      <c r="G271" s="441"/>
      <c r="H271" s="441"/>
      <c r="J271" s="435"/>
      <c r="L271" s="441"/>
    </row>
    <row r="272" spans="1:12" s="448" customFormat="1" ht="24.95" customHeight="1">
      <c r="A272" s="456"/>
      <c r="B272" s="446" t="s">
        <v>625</v>
      </c>
      <c r="C272" s="447" t="s">
        <v>5768</v>
      </c>
      <c r="D272" s="491">
        <f>'CE MINISTERIALE 2019'!D272</f>
        <v>0</v>
      </c>
      <c r="E272" s="422"/>
      <c r="F272" s="423"/>
      <c r="G272" s="441"/>
      <c r="H272" s="441"/>
      <c r="J272" s="435"/>
      <c r="L272" s="441"/>
    </row>
    <row r="273" spans="1:12" s="448" customFormat="1" ht="24.95" customHeight="1">
      <c r="A273" s="456"/>
      <c r="B273" s="442" t="s">
        <v>627</v>
      </c>
      <c r="C273" s="443" t="s">
        <v>5769</v>
      </c>
      <c r="D273" s="438">
        <f>'CE MINISTERIALE 2019'!D273</f>
        <v>532000</v>
      </c>
      <c r="E273" s="422"/>
      <c r="F273" s="440"/>
      <c r="G273" s="441"/>
      <c r="H273" s="441"/>
      <c r="J273" s="435"/>
      <c r="L273" s="441"/>
    </row>
    <row r="274" spans="1:12" s="448" customFormat="1" ht="24.95" customHeight="1">
      <c r="A274" s="456" t="s">
        <v>312</v>
      </c>
      <c r="B274" s="446" t="s">
        <v>629</v>
      </c>
      <c r="C274" s="447" t="s">
        <v>3884</v>
      </c>
      <c r="D274" s="491">
        <f>'CE MINISTERIALE 2019'!D274</f>
        <v>0</v>
      </c>
      <c r="E274" s="422"/>
      <c r="F274" s="423"/>
      <c r="G274" s="441"/>
      <c r="H274" s="441"/>
      <c r="J274" s="435"/>
      <c r="L274" s="441"/>
    </row>
    <row r="275" spans="1:12" s="448" customFormat="1" ht="24.95" customHeight="1">
      <c r="A275" s="456"/>
      <c r="B275" s="446" t="s">
        <v>631</v>
      </c>
      <c r="C275" s="447" t="s">
        <v>3885</v>
      </c>
      <c r="D275" s="491">
        <f>'CE MINISTERIALE 2019'!D275</f>
        <v>0</v>
      </c>
      <c r="E275" s="422"/>
      <c r="F275" s="423"/>
      <c r="G275" s="441"/>
      <c r="H275" s="441"/>
      <c r="J275" s="435"/>
      <c r="L275" s="441"/>
    </row>
    <row r="276" spans="1:12" s="448" customFormat="1" ht="24.95" customHeight="1">
      <c r="A276" s="456" t="s">
        <v>1589</v>
      </c>
      <c r="B276" s="446" t="s">
        <v>633</v>
      </c>
      <c r="C276" s="447" t="s">
        <v>3886</v>
      </c>
      <c r="D276" s="491">
        <f>'CE MINISTERIALE 2019'!D276</f>
        <v>494000</v>
      </c>
      <c r="E276" s="422"/>
      <c r="F276" s="423"/>
      <c r="G276" s="441"/>
      <c r="H276" s="441"/>
      <c r="J276" s="435"/>
      <c r="L276" s="441"/>
    </row>
    <row r="277" spans="1:12" s="448" customFormat="1" ht="24.95" customHeight="1">
      <c r="A277" s="456"/>
      <c r="B277" s="446" t="s">
        <v>635</v>
      </c>
      <c r="C277" s="447" t="s">
        <v>3887</v>
      </c>
      <c r="D277" s="491">
        <f>'CE MINISTERIALE 2019'!D277</f>
        <v>38000</v>
      </c>
      <c r="E277" s="422"/>
      <c r="F277" s="423"/>
      <c r="G277" s="441"/>
      <c r="H277" s="441"/>
      <c r="J277" s="435"/>
      <c r="L277" s="441"/>
    </row>
    <row r="278" spans="1:12" s="448" customFormat="1" ht="24.95" customHeight="1">
      <c r="A278" s="456"/>
      <c r="B278" s="446" t="s">
        <v>642</v>
      </c>
      <c r="C278" s="447" t="s">
        <v>3888</v>
      </c>
      <c r="D278" s="491">
        <f>'CE MINISTERIALE 2019'!D278</f>
        <v>0</v>
      </c>
      <c r="E278" s="422"/>
      <c r="F278" s="423"/>
      <c r="G278" s="441"/>
      <c r="H278" s="441"/>
      <c r="J278" s="435"/>
      <c r="L278" s="441"/>
    </row>
    <row r="279" spans="1:12" s="448" customFormat="1" ht="24.95" customHeight="1">
      <c r="A279" s="456"/>
      <c r="B279" s="442" t="s">
        <v>644</v>
      </c>
      <c r="C279" s="443" t="s">
        <v>5770</v>
      </c>
      <c r="D279" s="438">
        <f>'CE MINISTERIALE 2019'!D279</f>
        <v>33093000</v>
      </c>
      <c r="E279" s="422"/>
      <c r="F279" s="440"/>
      <c r="G279" s="441"/>
      <c r="H279" s="441"/>
      <c r="J279" s="435"/>
      <c r="L279" s="441"/>
    </row>
    <row r="280" spans="1:12" s="448" customFormat="1" ht="24.95" customHeight="1">
      <c r="A280" s="456" t="s">
        <v>312</v>
      </c>
      <c r="B280" s="446" t="s">
        <v>646</v>
      </c>
      <c r="C280" s="447" t="s">
        <v>5771</v>
      </c>
      <c r="D280" s="491">
        <f>'CE MINISTERIALE 2019'!D280</f>
        <v>0</v>
      </c>
      <c r="E280" s="422"/>
      <c r="F280" s="423"/>
      <c r="G280" s="441"/>
      <c r="H280" s="441"/>
      <c r="J280" s="435"/>
      <c r="L280" s="441"/>
    </row>
    <row r="281" spans="1:12" s="448" customFormat="1" ht="24.95" customHeight="1">
      <c r="A281" s="456"/>
      <c r="B281" s="446" t="s">
        <v>648</v>
      </c>
      <c r="C281" s="447" t="s">
        <v>5772</v>
      </c>
      <c r="D281" s="491">
        <f>'CE MINISTERIALE 2019'!D281</f>
        <v>0</v>
      </c>
      <c r="E281" s="422"/>
      <c r="F281" s="423"/>
      <c r="G281" s="441"/>
      <c r="H281" s="441"/>
      <c r="J281" s="435"/>
      <c r="L281" s="441"/>
    </row>
    <row r="282" spans="1:12" s="448" customFormat="1" ht="24.95" customHeight="1">
      <c r="A282" s="456" t="s">
        <v>1589</v>
      </c>
      <c r="B282" s="446" t="s">
        <v>650</v>
      </c>
      <c r="C282" s="447" t="s">
        <v>5773</v>
      </c>
      <c r="D282" s="491">
        <f>'CE MINISTERIALE 2019'!D282</f>
        <v>733000</v>
      </c>
      <c r="E282" s="422"/>
      <c r="F282" s="423"/>
      <c r="G282" s="441"/>
      <c r="H282" s="441"/>
      <c r="J282" s="435"/>
      <c r="L282" s="441"/>
    </row>
    <row r="283" spans="1:12" s="448" customFormat="1" ht="24.95" customHeight="1">
      <c r="A283" s="456"/>
      <c r="B283" s="446" t="s">
        <v>652</v>
      </c>
      <c r="C283" s="447" t="s">
        <v>3889</v>
      </c>
      <c r="D283" s="491">
        <f>'CE MINISTERIALE 2019'!D283</f>
        <v>32360000</v>
      </c>
      <c r="E283" s="422"/>
      <c r="F283" s="423"/>
      <c r="G283" s="441"/>
      <c r="H283" s="441"/>
      <c r="J283" s="435"/>
      <c r="L283" s="441"/>
    </row>
    <row r="284" spans="1:12" s="448" customFormat="1" ht="24.95" customHeight="1">
      <c r="A284" s="456"/>
      <c r="B284" s="442" t="s">
        <v>654</v>
      </c>
      <c r="C284" s="443" t="s">
        <v>5774</v>
      </c>
      <c r="D284" s="438">
        <f>'CE MINISTERIALE 2019'!D284</f>
        <v>53623000</v>
      </c>
      <c r="E284" s="422"/>
      <c r="F284" s="440"/>
      <c r="G284" s="441"/>
      <c r="H284" s="441"/>
      <c r="J284" s="435"/>
      <c r="L284" s="441"/>
    </row>
    <row r="285" spans="1:12" s="448" customFormat="1" ht="24.95" customHeight="1">
      <c r="A285" s="456" t="s">
        <v>312</v>
      </c>
      <c r="B285" s="446" t="s">
        <v>656</v>
      </c>
      <c r="C285" s="447" t="s">
        <v>3890</v>
      </c>
      <c r="D285" s="438">
        <f>'CE MINISTERIALE 2019'!D285</f>
        <v>0</v>
      </c>
      <c r="E285" s="422"/>
      <c r="F285" s="440"/>
      <c r="G285" s="441"/>
      <c r="H285" s="441"/>
      <c r="J285" s="435"/>
      <c r="L285" s="441"/>
    </row>
    <row r="286" spans="1:12" s="423" customFormat="1" ht="24.95" customHeight="1">
      <c r="A286" s="453" t="s">
        <v>312</v>
      </c>
      <c r="B286" s="449" t="s">
        <v>4788</v>
      </c>
      <c r="C286" s="450" t="s">
        <v>5775</v>
      </c>
      <c r="D286" s="491">
        <f>'CE MINISTERIALE 2019'!D286</f>
        <v>0</v>
      </c>
      <c r="E286" s="422"/>
      <c r="G286" s="441"/>
      <c r="H286" s="441"/>
      <c r="J286" s="435"/>
      <c r="L286" s="441"/>
    </row>
    <row r="287" spans="1:12" s="423" customFormat="1" ht="24.95" customHeight="1">
      <c r="A287" s="453" t="s">
        <v>312</v>
      </c>
      <c r="B287" s="449" t="s">
        <v>4790</v>
      </c>
      <c r="C287" s="450" t="s">
        <v>5776</v>
      </c>
      <c r="D287" s="491">
        <f>'CE MINISTERIALE 2019'!D287</f>
        <v>0</v>
      </c>
      <c r="E287" s="422"/>
      <c r="G287" s="441"/>
      <c r="H287" s="441"/>
      <c r="J287" s="435"/>
      <c r="L287" s="441"/>
    </row>
    <row r="288" spans="1:12" s="448" customFormat="1" ht="24.95" customHeight="1">
      <c r="A288" s="456"/>
      <c r="B288" s="446" t="s">
        <v>658</v>
      </c>
      <c r="C288" s="447" t="s">
        <v>3891</v>
      </c>
      <c r="D288" s="491">
        <f>'CE MINISTERIALE 2019'!D288</f>
        <v>28195000</v>
      </c>
      <c r="E288" s="422"/>
      <c r="F288" s="423"/>
      <c r="G288" s="441"/>
      <c r="H288" s="441"/>
      <c r="J288" s="435"/>
      <c r="L288" s="441"/>
    </row>
    <row r="289" spans="1:12" s="448" customFormat="1" ht="24.95" customHeight="1">
      <c r="A289" s="456" t="s">
        <v>1589</v>
      </c>
      <c r="B289" s="446" t="s">
        <v>4792</v>
      </c>
      <c r="C289" s="447" t="s">
        <v>5777</v>
      </c>
      <c r="D289" s="491">
        <f>'CE MINISTERIALE 2019'!D289</f>
        <v>0</v>
      </c>
      <c r="E289" s="422"/>
      <c r="F289" s="423"/>
      <c r="G289" s="441"/>
      <c r="H289" s="441"/>
      <c r="J289" s="435"/>
      <c r="L289" s="441"/>
    </row>
    <row r="290" spans="1:12" s="448" customFormat="1" ht="24.95" customHeight="1">
      <c r="A290" s="456" t="s">
        <v>1594</v>
      </c>
      <c r="B290" s="446" t="s">
        <v>660</v>
      </c>
      <c r="C290" s="447" t="s">
        <v>5778</v>
      </c>
      <c r="D290" s="491">
        <f>'CE MINISTERIALE 2019'!D290</f>
        <v>527000</v>
      </c>
      <c r="E290" s="422"/>
      <c r="F290" s="423"/>
      <c r="G290" s="441"/>
      <c r="H290" s="441"/>
      <c r="J290" s="435"/>
      <c r="L290" s="441"/>
    </row>
    <row r="291" spans="1:12" s="448" customFormat="1" ht="24.95" customHeight="1">
      <c r="A291" s="456"/>
      <c r="B291" s="446" t="s">
        <v>661</v>
      </c>
      <c r="C291" s="447" t="s">
        <v>5779</v>
      </c>
      <c r="D291" s="491">
        <f>'CE MINISTERIALE 2019'!D291</f>
        <v>23096000</v>
      </c>
      <c r="E291" s="422"/>
      <c r="F291" s="423"/>
      <c r="G291" s="441"/>
      <c r="H291" s="441"/>
      <c r="J291" s="435"/>
      <c r="L291" s="441"/>
    </row>
    <row r="292" spans="1:12" s="448" customFormat="1" ht="24.95" customHeight="1">
      <c r="A292" s="456"/>
      <c r="B292" s="446" t="s">
        <v>662</v>
      </c>
      <c r="C292" s="447" t="s">
        <v>5780</v>
      </c>
      <c r="D292" s="491">
        <f>'CE MINISTERIALE 2019'!D292</f>
        <v>1805000</v>
      </c>
      <c r="E292" s="422"/>
      <c r="F292" s="423"/>
      <c r="G292" s="441"/>
      <c r="H292" s="441"/>
      <c r="J292" s="435"/>
      <c r="L292" s="441"/>
    </row>
    <row r="293" spans="1:12" s="448" customFormat="1" ht="24.95" customHeight="1">
      <c r="A293" s="678"/>
      <c r="B293" s="442" t="s">
        <v>663</v>
      </c>
      <c r="C293" s="443" t="s">
        <v>5781</v>
      </c>
      <c r="D293" s="438">
        <f>'CE MINISTERIALE 2019'!D293</f>
        <v>2532000</v>
      </c>
      <c r="E293" s="422"/>
      <c r="F293" s="440"/>
      <c r="G293" s="441"/>
      <c r="H293" s="441"/>
      <c r="J293" s="435"/>
      <c r="L293" s="441"/>
    </row>
    <row r="294" spans="1:12" s="448" customFormat="1" ht="24.95" customHeight="1">
      <c r="A294" s="456"/>
      <c r="B294" s="446" t="s">
        <v>665</v>
      </c>
      <c r="C294" s="447" t="s">
        <v>5782</v>
      </c>
      <c r="D294" s="491">
        <f>'CE MINISTERIALE 2019'!D294</f>
        <v>0</v>
      </c>
      <c r="E294" s="422"/>
      <c r="F294" s="423"/>
      <c r="G294" s="441"/>
      <c r="H294" s="441"/>
      <c r="J294" s="435"/>
      <c r="L294" s="441"/>
    </row>
    <row r="295" spans="1:12" s="448" customFormat="1" ht="24.95" customHeight="1">
      <c r="A295" s="456"/>
      <c r="B295" s="446" t="s">
        <v>667</v>
      </c>
      <c r="C295" s="447" t="s">
        <v>3892</v>
      </c>
      <c r="D295" s="491">
        <f>'CE MINISTERIALE 2019'!D295</f>
        <v>2270000</v>
      </c>
      <c r="E295" s="422"/>
      <c r="F295" s="423"/>
      <c r="G295" s="441"/>
      <c r="H295" s="441"/>
      <c r="J295" s="435"/>
      <c r="L295" s="441"/>
    </row>
    <row r="296" spans="1:12" s="448" customFormat="1" ht="24.95" customHeight="1">
      <c r="A296" s="456"/>
      <c r="B296" s="446" t="s">
        <v>669</v>
      </c>
      <c r="C296" s="447" t="s">
        <v>3893</v>
      </c>
      <c r="D296" s="491">
        <f>'CE MINISTERIALE 2019'!D296</f>
        <v>0</v>
      </c>
      <c r="E296" s="422"/>
      <c r="F296" s="423"/>
      <c r="G296" s="441"/>
      <c r="H296" s="441"/>
      <c r="J296" s="435"/>
      <c r="L296" s="441"/>
    </row>
    <row r="297" spans="1:12" s="448" customFormat="1" ht="24.95" customHeight="1">
      <c r="A297" s="456"/>
      <c r="B297" s="446" t="s">
        <v>329</v>
      </c>
      <c r="C297" s="447" t="s">
        <v>3894</v>
      </c>
      <c r="D297" s="491">
        <f>'CE MINISTERIALE 2019'!D297</f>
        <v>120000</v>
      </c>
      <c r="E297" s="422"/>
      <c r="F297" s="423"/>
      <c r="G297" s="441"/>
      <c r="H297" s="441"/>
      <c r="J297" s="435"/>
      <c r="L297" s="441"/>
    </row>
    <row r="298" spans="1:12" s="448" customFormat="1" ht="24.95" customHeight="1">
      <c r="A298" s="456" t="s">
        <v>312</v>
      </c>
      <c r="B298" s="446" t="s">
        <v>331</v>
      </c>
      <c r="C298" s="447" t="s">
        <v>3895</v>
      </c>
      <c r="D298" s="491">
        <f>'CE MINISTERIALE 2019'!D298</f>
        <v>0</v>
      </c>
      <c r="E298" s="422"/>
      <c r="F298" s="423"/>
      <c r="G298" s="441"/>
      <c r="H298" s="441"/>
      <c r="J298" s="435"/>
      <c r="L298" s="441"/>
    </row>
    <row r="299" spans="1:12" s="448" customFormat="1" ht="24.95" customHeight="1">
      <c r="A299" s="456"/>
      <c r="B299" s="446" t="s">
        <v>333</v>
      </c>
      <c r="C299" s="447" t="s">
        <v>3896</v>
      </c>
      <c r="D299" s="491">
        <f>'CE MINISTERIALE 2019'!D299</f>
        <v>142000</v>
      </c>
      <c r="E299" s="422"/>
      <c r="F299" s="423"/>
      <c r="G299" s="441"/>
      <c r="H299" s="441"/>
      <c r="J299" s="435"/>
      <c r="L299" s="441"/>
    </row>
    <row r="300" spans="1:12" s="448" customFormat="1" ht="24.95" customHeight="1">
      <c r="A300" s="456" t="s">
        <v>312</v>
      </c>
      <c r="B300" s="446" t="s">
        <v>335</v>
      </c>
      <c r="C300" s="447" t="s">
        <v>3897</v>
      </c>
      <c r="D300" s="491">
        <f>'CE MINISTERIALE 2019'!D300</f>
        <v>0</v>
      </c>
      <c r="E300" s="422"/>
      <c r="F300" s="423"/>
      <c r="G300" s="441"/>
      <c r="H300" s="441"/>
      <c r="J300" s="435"/>
      <c r="L300" s="441"/>
    </row>
    <row r="301" spans="1:12" s="448" customFormat="1" ht="24.95" customHeight="1">
      <c r="A301" s="456"/>
      <c r="B301" s="442" t="s">
        <v>337</v>
      </c>
      <c r="C301" s="443" t="s">
        <v>5783</v>
      </c>
      <c r="D301" s="438">
        <f>'CE MINISTERIALE 2019'!D301</f>
        <v>5903000</v>
      </c>
      <c r="E301" s="422"/>
      <c r="F301" s="440"/>
      <c r="G301" s="441"/>
      <c r="H301" s="441"/>
      <c r="J301" s="435"/>
      <c r="L301" s="441"/>
    </row>
    <row r="302" spans="1:12" s="448" customFormat="1" ht="24.95" customHeight="1">
      <c r="A302" s="678"/>
      <c r="B302" s="446" t="s">
        <v>339</v>
      </c>
      <c r="C302" s="447" t="s">
        <v>5784</v>
      </c>
      <c r="D302" s="491">
        <f>'CE MINISTERIALE 2019'!D302</f>
        <v>730000</v>
      </c>
      <c r="E302" s="422"/>
      <c r="F302" s="423"/>
      <c r="G302" s="441"/>
      <c r="H302" s="441"/>
      <c r="J302" s="435"/>
      <c r="L302" s="441"/>
    </row>
    <row r="303" spans="1:12" s="448" customFormat="1" ht="24.95" customHeight="1">
      <c r="A303" s="678"/>
      <c r="B303" s="446" t="s">
        <v>341</v>
      </c>
      <c r="C303" s="447" t="s">
        <v>3898</v>
      </c>
      <c r="D303" s="491">
        <f>'CE MINISTERIALE 2019'!D303</f>
        <v>232000</v>
      </c>
      <c r="E303" s="422"/>
      <c r="F303" s="423"/>
      <c r="G303" s="441"/>
      <c r="H303" s="441"/>
      <c r="J303" s="435"/>
      <c r="L303" s="441"/>
    </row>
    <row r="304" spans="1:12" s="448" customFormat="1" ht="24.95" customHeight="1">
      <c r="A304" s="456"/>
      <c r="B304" s="446" t="s">
        <v>343</v>
      </c>
      <c r="C304" s="447" t="s">
        <v>3899</v>
      </c>
      <c r="D304" s="491">
        <f>'CE MINISTERIALE 2019'!D304</f>
        <v>0</v>
      </c>
      <c r="E304" s="422"/>
      <c r="F304" s="423"/>
      <c r="G304" s="441"/>
      <c r="H304" s="441"/>
      <c r="J304" s="435"/>
      <c r="L304" s="441"/>
    </row>
    <row r="305" spans="1:12" s="448" customFormat="1" ht="24.95" customHeight="1">
      <c r="A305" s="678"/>
      <c r="B305" s="446" t="s">
        <v>345</v>
      </c>
      <c r="C305" s="447" t="s">
        <v>3900</v>
      </c>
      <c r="D305" s="491">
        <f>'CE MINISTERIALE 2019'!D305</f>
        <v>0</v>
      </c>
      <c r="E305" s="422"/>
      <c r="F305" s="423"/>
      <c r="G305" s="441"/>
      <c r="H305" s="441"/>
      <c r="J305" s="435"/>
      <c r="L305" s="441"/>
    </row>
    <row r="306" spans="1:12" s="448" customFormat="1" ht="24.95" customHeight="1">
      <c r="A306" s="678"/>
      <c r="B306" s="446" t="s">
        <v>347</v>
      </c>
      <c r="C306" s="447" t="s">
        <v>3901</v>
      </c>
      <c r="D306" s="491">
        <f>'CE MINISTERIALE 2019'!D306</f>
        <v>4941000</v>
      </c>
      <c r="E306" s="422"/>
      <c r="F306" s="423"/>
      <c r="G306" s="441"/>
      <c r="H306" s="441"/>
      <c r="J306" s="435"/>
      <c r="L306" s="441"/>
    </row>
    <row r="307" spans="1:12" s="448" customFormat="1" ht="24.95" customHeight="1">
      <c r="A307" s="678" t="s">
        <v>312</v>
      </c>
      <c r="B307" s="446" t="s">
        <v>349</v>
      </c>
      <c r="C307" s="447" t="s">
        <v>3902</v>
      </c>
      <c r="D307" s="491">
        <f>'CE MINISTERIALE 2019'!D307</f>
        <v>0</v>
      </c>
      <c r="E307" s="422"/>
      <c r="F307" s="423"/>
      <c r="G307" s="441"/>
      <c r="H307" s="441"/>
      <c r="J307" s="435"/>
      <c r="L307" s="441"/>
    </row>
    <row r="308" spans="1:12" s="457" customFormat="1" ht="24.95" customHeight="1">
      <c r="A308" s="456" t="s">
        <v>312</v>
      </c>
      <c r="B308" s="446" t="s">
        <v>4797</v>
      </c>
      <c r="C308" s="447" t="s">
        <v>5785</v>
      </c>
      <c r="D308" s="491">
        <f>'CE MINISTERIALE 2019'!D308</f>
        <v>0</v>
      </c>
      <c r="E308" s="422"/>
      <c r="F308" s="422"/>
      <c r="G308" s="463"/>
      <c r="H308" s="463"/>
      <c r="J308" s="435"/>
      <c r="L308" s="441"/>
    </row>
    <row r="309" spans="1:12" s="448" customFormat="1" ht="24.95" customHeight="1">
      <c r="A309" s="456"/>
      <c r="B309" s="442" t="s">
        <v>1307</v>
      </c>
      <c r="C309" s="443" t="s">
        <v>5786</v>
      </c>
      <c r="D309" s="438">
        <f>'CE MINISTERIALE 2019'!D309</f>
        <v>2451000</v>
      </c>
      <c r="E309" s="422"/>
      <c r="F309" s="440"/>
      <c r="G309" s="441"/>
      <c r="H309" s="441"/>
      <c r="J309" s="435"/>
      <c r="L309" s="441"/>
    </row>
    <row r="310" spans="1:12" s="423" customFormat="1" ht="24.95" customHeight="1">
      <c r="A310" s="453" t="s">
        <v>312</v>
      </c>
      <c r="B310" s="446" t="s">
        <v>1309</v>
      </c>
      <c r="C310" s="447" t="s">
        <v>5787</v>
      </c>
      <c r="D310" s="491">
        <f>'CE MINISTERIALE 2019'!D310</f>
        <v>0</v>
      </c>
      <c r="E310" s="422"/>
      <c r="G310" s="441"/>
      <c r="H310" s="441"/>
      <c r="J310" s="435"/>
      <c r="L310" s="441"/>
    </row>
    <row r="311" spans="1:12" s="423" customFormat="1" ht="24.95" customHeight="1">
      <c r="A311" s="453"/>
      <c r="B311" s="446" t="s">
        <v>1310</v>
      </c>
      <c r="C311" s="447" t="s">
        <v>5788</v>
      </c>
      <c r="D311" s="491">
        <f>'CE MINISTERIALE 2019'!D311</f>
        <v>0</v>
      </c>
      <c r="E311" s="422"/>
      <c r="G311" s="441"/>
      <c r="H311" s="441"/>
      <c r="J311" s="435"/>
      <c r="L311" s="441"/>
    </row>
    <row r="312" spans="1:12" s="423" customFormat="1" ht="24.95" customHeight="1">
      <c r="A312" s="453"/>
      <c r="B312" s="446" t="s">
        <v>1311</v>
      </c>
      <c r="C312" s="447" t="s">
        <v>5789</v>
      </c>
      <c r="D312" s="438">
        <f>'CE MINISTERIALE 2019'!D312</f>
        <v>2451000</v>
      </c>
      <c r="E312" s="422"/>
      <c r="F312" s="440"/>
      <c r="G312" s="441"/>
      <c r="H312" s="441"/>
      <c r="J312" s="435"/>
      <c r="L312" s="441"/>
    </row>
    <row r="313" spans="1:12" s="423" customFormat="1" ht="24.95" customHeight="1">
      <c r="A313" s="453"/>
      <c r="B313" s="449" t="s">
        <v>1312</v>
      </c>
      <c r="C313" s="450" t="s">
        <v>5790</v>
      </c>
      <c r="D313" s="491">
        <f>'CE MINISTERIALE 2019'!D313</f>
        <v>0</v>
      </c>
      <c r="E313" s="422"/>
      <c r="G313" s="441"/>
      <c r="H313" s="441"/>
      <c r="J313" s="435"/>
      <c r="L313" s="441"/>
    </row>
    <row r="314" spans="1:12" s="423" customFormat="1" ht="24.95" customHeight="1">
      <c r="A314" s="453"/>
      <c r="B314" s="449" t="s">
        <v>1314</v>
      </c>
      <c r="C314" s="450" t="s">
        <v>5791</v>
      </c>
      <c r="D314" s="491">
        <f>'CE MINISTERIALE 2019'!D314</f>
        <v>14000</v>
      </c>
      <c r="E314" s="422"/>
      <c r="G314" s="441"/>
      <c r="H314" s="441"/>
      <c r="J314" s="435"/>
      <c r="L314" s="441"/>
    </row>
    <row r="315" spans="1:12" s="423" customFormat="1" ht="24.95" customHeight="1">
      <c r="A315" s="453"/>
      <c r="B315" s="449" t="s">
        <v>1316</v>
      </c>
      <c r="C315" s="450" t="s">
        <v>5792</v>
      </c>
      <c r="D315" s="491">
        <f>'CE MINISTERIALE 2019'!D315</f>
        <v>0</v>
      </c>
      <c r="E315" s="422"/>
      <c r="G315" s="441"/>
      <c r="H315" s="441"/>
      <c r="J315" s="435"/>
      <c r="L315" s="441"/>
    </row>
    <row r="316" spans="1:12" s="423" customFormat="1" ht="24.95" customHeight="1">
      <c r="A316" s="453"/>
      <c r="B316" s="449" t="s">
        <v>1317</v>
      </c>
      <c r="C316" s="450" t="s">
        <v>5793</v>
      </c>
      <c r="D316" s="491">
        <f>'CE MINISTERIALE 2019'!D316</f>
        <v>0</v>
      </c>
      <c r="E316" s="422"/>
      <c r="G316" s="441"/>
      <c r="H316" s="441"/>
      <c r="J316" s="435"/>
      <c r="L316" s="441"/>
    </row>
    <row r="317" spans="1:12" s="423" customFormat="1" ht="24.95" customHeight="1">
      <c r="A317" s="453"/>
      <c r="B317" s="449" t="s">
        <v>1319</v>
      </c>
      <c r="C317" s="450" t="s">
        <v>5794</v>
      </c>
      <c r="D317" s="491">
        <f>'CE MINISTERIALE 2019'!D317</f>
        <v>2004000</v>
      </c>
      <c r="E317" s="422"/>
      <c r="G317" s="441"/>
      <c r="H317" s="441"/>
      <c r="J317" s="435"/>
      <c r="L317" s="441"/>
    </row>
    <row r="318" spans="1:12" s="423" customFormat="1" ht="24.95" customHeight="1">
      <c r="A318" s="453"/>
      <c r="B318" s="449" t="s">
        <v>1321</v>
      </c>
      <c r="C318" s="450" t="s">
        <v>5795</v>
      </c>
      <c r="D318" s="491">
        <f>'CE MINISTERIALE 2019'!D318</f>
        <v>433000</v>
      </c>
      <c r="E318" s="422"/>
      <c r="G318" s="441"/>
      <c r="H318" s="441"/>
      <c r="J318" s="435"/>
      <c r="L318" s="441"/>
    </row>
    <row r="319" spans="1:12" s="423" customFormat="1" ht="24.95" customHeight="1">
      <c r="A319" s="453"/>
      <c r="B319" s="446" t="s">
        <v>1323</v>
      </c>
      <c r="C319" s="447" t="s">
        <v>5796</v>
      </c>
      <c r="D319" s="438">
        <f>'CE MINISTERIALE 2019'!D319</f>
        <v>0</v>
      </c>
      <c r="E319" s="422"/>
      <c r="F319" s="440"/>
      <c r="G319" s="441"/>
      <c r="H319" s="441"/>
      <c r="J319" s="435"/>
      <c r="L319" s="441"/>
    </row>
    <row r="320" spans="1:12" s="423" customFormat="1" ht="24.95" customHeight="1">
      <c r="A320" s="453" t="s">
        <v>312</v>
      </c>
      <c r="B320" s="449" t="s">
        <v>1325</v>
      </c>
      <c r="C320" s="450" t="s">
        <v>5797</v>
      </c>
      <c r="D320" s="491">
        <f>'CE MINISTERIALE 2019'!D320</f>
        <v>0</v>
      </c>
      <c r="E320" s="422"/>
      <c r="G320" s="441"/>
      <c r="H320" s="441"/>
      <c r="J320" s="435"/>
      <c r="L320" s="441"/>
    </row>
    <row r="321" spans="1:12" s="423" customFormat="1" ht="24.95" customHeight="1">
      <c r="A321" s="453"/>
      <c r="B321" s="449" t="s">
        <v>1327</v>
      </c>
      <c r="C321" s="450" t="s">
        <v>5798</v>
      </c>
      <c r="D321" s="491">
        <f>'CE MINISTERIALE 2019'!D321</f>
        <v>0</v>
      </c>
      <c r="E321" s="422"/>
      <c r="G321" s="441"/>
      <c r="H321" s="441"/>
      <c r="J321" s="435"/>
      <c r="L321" s="441"/>
    </row>
    <row r="322" spans="1:12" s="423" customFormat="1" ht="24.95" customHeight="1">
      <c r="A322" s="453" t="s">
        <v>1594</v>
      </c>
      <c r="B322" s="449" t="s">
        <v>1329</v>
      </c>
      <c r="C322" s="450" t="s">
        <v>5799</v>
      </c>
      <c r="D322" s="491">
        <f>'CE MINISTERIALE 2019'!D322</f>
        <v>0</v>
      </c>
      <c r="E322" s="422"/>
      <c r="G322" s="441"/>
      <c r="H322" s="441"/>
      <c r="J322" s="435"/>
      <c r="L322" s="441"/>
    </row>
    <row r="323" spans="1:12" s="423" customFormat="1" ht="24.95" customHeight="1">
      <c r="A323" s="453"/>
      <c r="B323" s="442" t="s">
        <v>2092</v>
      </c>
      <c r="C323" s="443" t="s">
        <v>5800</v>
      </c>
      <c r="D323" s="438">
        <f>'CE MINISTERIALE 2019'!D323</f>
        <v>30532000</v>
      </c>
      <c r="E323" s="422"/>
      <c r="F323" s="440"/>
      <c r="G323" s="441"/>
      <c r="H323" s="441"/>
      <c r="J323" s="435"/>
      <c r="L323" s="441"/>
    </row>
    <row r="324" spans="1:12" s="423" customFormat="1" ht="24.95" customHeight="1">
      <c r="A324" s="681" t="s">
        <v>312</v>
      </c>
      <c r="B324" s="446" t="s">
        <v>2094</v>
      </c>
      <c r="C324" s="447" t="s">
        <v>5801</v>
      </c>
      <c r="D324" s="491">
        <f>'CE MINISTERIALE 2019'!D324</f>
        <v>0</v>
      </c>
      <c r="E324" s="422"/>
      <c r="G324" s="441"/>
      <c r="H324" s="441"/>
      <c r="J324" s="435"/>
      <c r="L324" s="441"/>
    </row>
    <row r="325" spans="1:12" s="423" customFormat="1" ht="24.95" customHeight="1">
      <c r="A325" s="453"/>
      <c r="B325" s="446" t="s">
        <v>2096</v>
      </c>
      <c r="C325" s="447" t="s">
        <v>5802</v>
      </c>
      <c r="D325" s="491">
        <f>'CE MINISTERIALE 2019'!D325</f>
        <v>0</v>
      </c>
      <c r="E325" s="422"/>
      <c r="G325" s="441"/>
      <c r="H325" s="441"/>
      <c r="J325" s="435"/>
      <c r="L325" s="441"/>
    </row>
    <row r="326" spans="1:12" s="423" customFormat="1" ht="24.95" customHeight="1">
      <c r="A326" s="453" t="s">
        <v>1594</v>
      </c>
      <c r="B326" s="446" t="s">
        <v>182</v>
      </c>
      <c r="C326" s="447" t="s">
        <v>5803</v>
      </c>
      <c r="D326" s="491">
        <f>'CE MINISTERIALE 2019'!D326</f>
        <v>1795000</v>
      </c>
      <c r="E326" s="422"/>
      <c r="G326" s="441"/>
      <c r="H326" s="441"/>
      <c r="J326" s="435"/>
      <c r="L326" s="441"/>
    </row>
    <row r="327" spans="1:12" s="423" customFormat="1" ht="24.95" customHeight="1">
      <c r="A327" s="681"/>
      <c r="B327" s="446" t="s">
        <v>184</v>
      </c>
      <c r="C327" s="447" t="s">
        <v>5804</v>
      </c>
      <c r="D327" s="491">
        <f>'CE MINISTERIALE 2019'!D327</f>
        <v>460000</v>
      </c>
      <c r="E327" s="422"/>
      <c r="G327" s="441"/>
      <c r="H327" s="441"/>
      <c r="J327" s="435"/>
      <c r="L327" s="441"/>
    </row>
    <row r="328" spans="1:12" s="448" customFormat="1" ht="24.95" customHeight="1">
      <c r="A328" s="678"/>
      <c r="B328" s="446" t="s">
        <v>186</v>
      </c>
      <c r="C328" s="447" t="s">
        <v>5805</v>
      </c>
      <c r="D328" s="491">
        <f>'CE MINISTERIALE 2019'!D328</f>
        <v>10045000</v>
      </c>
      <c r="E328" s="422"/>
      <c r="F328" s="423"/>
      <c r="G328" s="441"/>
      <c r="H328" s="441"/>
      <c r="J328" s="435"/>
      <c r="L328" s="441"/>
    </row>
    <row r="329" spans="1:12" s="448" customFormat="1" ht="24.95" customHeight="1">
      <c r="A329" s="678" t="s">
        <v>312</v>
      </c>
      <c r="B329" s="446" t="s">
        <v>4803</v>
      </c>
      <c r="C329" s="447" t="s">
        <v>5806</v>
      </c>
      <c r="D329" s="491">
        <f>'CE MINISTERIALE 2019'!D329</f>
        <v>0</v>
      </c>
      <c r="E329" s="422"/>
      <c r="F329" s="423"/>
      <c r="G329" s="441"/>
      <c r="H329" s="441"/>
      <c r="J329" s="435"/>
      <c r="L329" s="441"/>
    </row>
    <row r="330" spans="1:12" s="448" customFormat="1" ht="24.95" customHeight="1">
      <c r="A330" s="678" t="s">
        <v>1594</v>
      </c>
      <c r="B330" s="446" t="s">
        <v>4805</v>
      </c>
      <c r="C330" s="447" t="s">
        <v>5807</v>
      </c>
      <c r="D330" s="491">
        <f>'CE MINISTERIALE 2019'!D330</f>
        <v>18232000</v>
      </c>
      <c r="E330" s="422"/>
      <c r="F330" s="423"/>
      <c r="G330" s="441"/>
      <c r="H330" s="441"/>
      <c r="J330" s="435"/>
      <c r="L330" s="441"/>
    </row>
    <row r="331" spans="1:12" s="448" customFormat="1" ht="24.95" customHeight="1">
      <c r="A331" s="682" t="s">
        <v>1589</v>
      </c>
      <c r="B331" s="442" t="s">
        <v>872</v>
      </c>
      <c r="C331" s="443" t="s">
        <v>5808</v>
      </c>
      <c r="D331" s="491">
        <f>'CE MINISTERIALE 2019'!D331</f>
        <v>0</v>
      </c>
      <c r="E331" s="422"/>
      <c r="F331" s="423"/>
      <c r="G331" s="441"/>
      <c r="H331" s="441"/>
      <c r="J331" s="435"/>
      <c r="L331" s="441"/>
    </row>
    <row r="332" spans="1:12" s="448" customFormat="1" ht="24.95" customHeight="1">
      <c r="A332" s="678"/>
      <c r="B332" s="442" t="s">
        <v>873</v>
      </c>
      <c r="C332" s="443" t="s">
        <v>5809</v>
      </c>
      <c r="D332" s="438">
        <f>'CE MINISTERIALE 2019'!D332</f>
        <v>69865500</v>
      </c>
      <c r="E332" s="422"/>
      <c r="F332" s="423"/>
      <c r="G332" s="441"/>
      <c r="H332" s="441"/>
      <c r="J332" s="435"/>
      <c r="L332" s="441"/>
    </row>
    <row r="333" spans="1:12" s="448" customFormat="1" ht="24.95" customHeight="1">
      <c r="A333" s="456"/>
      <c r="B333" s="442" t="s">
        <v>875</v>
      </c>
      <c r="C333" s="443" t="s">
        <v>5810</v>
      </c>
      <c r="D333" s="438">
        <f>'CE MINISTERIALE 2019'!D333</f>
        <v>66205500</v>
      </c>
      <c r="E333" s="422"/>
      <c r="F333" s="440"/>
      <c r="G333" s="441"/>
      <c r="H333" s="441"/>
      <c r="J333" s="435"/>
      <c r="L333" s="441"/>
    </row>
    <row r="334" spans="1:12" s="448" customFormat="1" ht="24.95" customHeight="1">
      <c r="A334" s="456"/>
      <c r="B334" s="446" t="s">
        <v>877</v>
      </c>
      <c r="C334" s="447" t="s">
        <v>3903</v>
      </c>
      <c r="D334" s="491">
        <f>'CE MINISTERIALE 2019'!D334</f>
        <v>8168000</v>
      </c>
      <c r="E334" s="422"/>
      <c r="F334" s="423"/>
      <c r="G334" s="441"/>
      <c r="H334" s="441"/>
      <c r="J334" s="435"/>
      <c r="L334" s="441"/>
    </row>
    <row r="335" spans="1:12" s="448" customFormat="1" ht="24.95" customHeight="1">
      <c r="A335" s="456"/>
      <c r="B335" s="446" t="s">
        <v>879</v>
      </c>
      <c r="C335" s="447" t="s">
        <v>3904</v>
      </c>
      <c r="D335" s="491">
        <f>'CE MINISTERIALE 2019'!D335</f>
        <v>14097000</v>
      </c>
      <c r="E335" s="422"/>
      <c r="F335" s="423"/>
      <c r="G335" s="441"/>
      <c r="H335" s="441"/>
      <c r="J335" s="435"/>
      <c r="L335" s="441"/>
    </row>
    <row r="336" spans="1:12" s="448" customFormat="1" ht="24.95" customHeight="1">
      <c r="A336" s="456"/>
      <c r="B336" s="446" t="s">
        <v>881</v>
      </c>
      <c r="C336" s="447" t="s">
        <v>882</v>
      </c>
      <c r="D336" s="438">
        <f>'CE MINISTERIALE 2019'!D336</f>
        <v>480000</v>
      </c>
      <c r="E336" s="422"/>
      <c r="F336" s="440"/>
      <c r="G336" s="441"/>
      <c r="H336" s="441"/>
      <c r="J336" s="435"/>
      <c r="L336" s="441"/>
    </row>
    <row r="337" spans="1:12" s="457" customFormat="1" ht="24.95" customHeight="1">
      <c r="A337" s="456"/>
      <c r="B337" s="446" t="s">
        <v>4808</v>
      </c>
      <c r="C337" s="447" t="s">
        <v>5811</v>
      </c>
      <c r="D337" s="491">
        <f>'CE MINISTERIALE 2019'!D337</f>
        <v>480000</v>
      </c>
      <c r="E337" s="422"/>
      <c r="F337" s="422"/>
      <c r="G337" s="441"/>
      <c r="H337" s="441"/>
      <c r="J337" s="435"/>
      <c r="L337" s="441"/>
    </row>
    <row r="338" spans="1:12" s="457" customFormat="1" ht="24.95" customHeight="1">
      <c r="A338" s="456"/>
      <c r="B338" s="446" t="s">
        <v>4810</v>
      </c>
      <c r="C338" s="447" t="s">
        <v>5812</v>
      </c>
      <c r="D338" s="491">
        <f>'CE MINISTERIALE 2019'!D338</f>
        <v>0</v>
      </c>
      <c r="E338" s="422"/>
      <c r="F338" s="422"/>
      <c r="G338" s="441"/>
      <c r="H338" s="441"/>
      <c r="J338" s="435"/>
      <c r="L338" s="441"/>
    </row>
    <row r="339" spans="1:12" s="448" customFormat="1" ht="24.95" customHeight="1">
      <c r="A339" s="456"/>
      <c r="B339" s="446" t="s">
        <v>883</v>
      </c>
      <c r="C339" s="447" t="s">
        <v>3905</v>
      </c>
      <c r="D339" s="491">
        <f>'CE MINISTERIALE 2019'!D339</f>
        <v>2865000</v>
      </c>
      <c r="E339" s="422"/>
      <c r="F339" s="423"/>
      <c r="G339" s="441"/>
      <c r="H339" s="441"/>
      <c r="J339" s="435"/>
      <c r="L339" s="441"/>
    </row>
    <row r="340" spans="1:12" s="448" customFormat="1" ht="24.95" customHeight="1">
      <c r="A340" s="456"/>
      <c r="B340" s="446" t="s">
        <v>885</v>
      </c>
      <c r="C340" s="447" t="s">
        <v>3906</v>
      </c>
      <c r="D340" s="491">
        <f>'CE MINISTERIALE 2019'!D340</f>
        <v>775000</v>
      </c>
      <c r="E340" s="422"/>
      <c r="F340" s="423"/>
      <c r="G340" s="441"/>
      <c r="H340" s="441"/>
      <c r="J340" s="435"/>
      <c r="L340" s="441"/>
    </row>
    <row r="341" spans="1:12" s="448" customFormat="1" ht="24.95" customHeight="1">
      <c r="A341" s="456"/>
      <c r="B341" s="446" t="s">
        <v>887</v>
      </c>
      <c r="C341" s="447" t="s">
        <v>5813</v>
      </c>
      <c r="D341" s="491">
        <f>'CE MINISTERIALE 2019'!D341</f>
        <v>239000</v>
      </c>
      <c r="E341" s="422"/>
      <c r="F341" s="423"/>
      <c r="G341" s="441"/>
      <c r="H341" s="441"/>
      <c r="J341" s="435"/>
      <c r="L341" s="441"/>
    </row>
    <row r="342" spans="1:12" s="448" customFormat="1" ht="24.95" customHeight="1">
      <c r="A342" s="456"/>
      <c r="B342" s="446" t="s">
        <v>889</v>
      </c>
      <c r="C342" s="447" t="s">
        <v>3907</v>
      </c>
      <c r="D342" s="491">
        <f>'CE MINISTERIALE 2019'!D342</f>
        <v>2237000</v>
      </c>
      <c r="E342" s="422"/>
      <c r="F342" s="423"/>
      <c r="G342" s="441"/>
      <c r="H342" s="441"/>
      <c r="J342" s="435"/>
      <c r="L342" s="441"/>
    </row>
    <row r="343" spans="1:12" s="448" customFormat="1" ht="24.95" customHeight="1">
      <c r="A343" s="456"/>
      <c r="B343" s="446" t="s">
        <v>891</v>
      </c>
      <c r="C343" s="447" t="s">
        <v>3908</v>
      </c>
      <c r="D343" s="491">
        <f>'CE MINISTERIALE 2019'!D343</f>
        <v>1022000</v>
      </c>
      <c r="E343" s="422"/>
      <c r="F343" s="423"/>
      <c r="G343" s="441"/>
      <c r="H343" s="441"/>
      <c r="J343" s="435"/>
      <c r="L343" s="441"/>
    </row>
    <row r="344" spans="1:12" s="448" customFormat="1" ht="24.95" customHeight="1">
      <c r="A344" s="456"/>
      <c r="B344" s="446" t="s">
        <v>893</v>
      </c>
      <c r="C344" s="447" t="s">
        <v>3909</v>
      </c>
      <c r="D344" s="491">
        <f>'CE MINISTERIALE 2019'!D344</f>
        <v>9895000</v>
      </c>
      <c r="E344" s="422"/>
      <c r="F344" s="423"/>
      <c r="G344" s="441"/>
      <c r="H344" s="441"/>
      <c r="J344" s="435"/>
      <c r="L344" s="441"/>
    </row>
    <row r="345" spans="1:12" s="448" customFormat="1" ht="24.95" customHeight="1">
      <c r="A345" s="456"/>
      <c r="B345" s="446" t="s">
        <v>895</v>
      </c>
      <c r="C345" s="447" t="s">
        <v>3910</v>
      </c>
      <c r="D345" s="491">
        <f>'CE MINISTERIALE 2019'!D345</f>
        <v>1552000</v>
      </c>
      <c r="E345" s="422"/>
      <c r="F345" s="423"/>
      <c r="G345" s="441"/>
      <c r="H345" s="441"/>
      <c r="J345" s="435"/>
      <c r="L345" s="441"/>
    </row>
    <row r="346" spans="1:12" s="448" customFormat="1" ht="24.95" customHeight="1">
      <c r="A346" s="678"/>
      <c r="B346" s="446" t="s">
        <v>897</v>
      </c>
      <c r="C346" s="447" t="s">
        <v>3911</v>
      </c>
      <c r="D346" s="438">
        <f>'CE MINISTERIALE 2019'!D346</f>
        <v>7585000</v>
      </c>
      <c r="E346" s="422"/>
      <c r="F346" s="440"/>
      <c r="G346" s="441"/>
      <c r="H346" s="441"/>
      <c r="J346" s="435"/>
      <c r="L346" s="441"/>
    </row>
    <row r="347" spans="1:12" s="448" customFormat="1" ht="24.95" customHeight="1">
      <c r="A347" s="678"/>
      <c r="B347" s="449" t="s">
        <v>899</v>
      </c>
      <c r="C347" s="450" t="s">
        <v>3912</v>
      </c>
      <c r="D347" s="491">
        <f>'CE MINISTERIALE 2019'!D347</f>
        <v>7445000</v>
      </c>
      <c r="E347" s="422"/>
      <c r="F347" s="423"/>
      <c r="G347" s="463"/>
      <c r="H347" s="463"/>
      <c r="J347" s="435"/>
      <c r="L347" s="441"/>
    </row>
    <row r="348" spans="1:12" s="448" customFormat="1" ht="24.95" customHeight="1">
      <c r="A348" s="678"/>
      <c r="B348" s="449" t="s">
        <v>901</v>
      </c>
      <c r="C348" s="450" t="s">
        <v>3913</v>
      </c>
      <c r="D348" s="491">
        <f>'CE MINISTERIALE 2019'!D348</f>
        <v>140000</v>
      </c>
      <c r="E348" s="422"/>
      <c r="F348" s="423"/>
      <c r="G348" s="441"/>
      <c r="H348" s="441"/>
      <c r="J348" s="435"/>
      <c r="L348" s="441"/>
    </row>
    <row r="349" spans="1:12" s="448" customFormat="1" ht="24.95" customHeight="1">
      <c r="A349" s="678"/>
      <c r="B349" s="446" t="s">
        <v>903</v>
      </c>
      <c r="C349" s="447" t="s">
        <v>5814</v>
      </c>
      <c r="D349" s="438">
        <f>'CE MINISTERIALE 2019'!D349</f>
        <v>17290500</v>
      </c>
      <c r="E349" s="422"/>
      <c r="F349" s="440"/>
      <c r="G349" s="441"/>
      <c r="H349" s="441"/>
      <c r="J349" s="435"/>
      <c r="L349" s="441"/>
    </row>
    <row r="350" spans="1:12" s="448" customFormat="1" ht="24.95" customHeight="1">
      <c r="A350" s="678" t="s">
        <v>312</v>
      </c>
      <c r="B350" s="449" t="s">
        <v>905</v>
      </c>
      <c r="C350" s="450" t="s">
        <v>5815</v>
      </c>
      <c r="D350" s="491">
        <f>'CE MINISTERIALE 2019'!D350</f>
        <v>0</v>
      </c>
      <c r="E350" s="422"/>
      <c r="F350" s="423"/>
      <c r="G350" s="441"/>
      <c r="H350" s="441"/>
      <c r="J350" s="435"/>
      <c r="L350" s="441"/>
    </row>
    <row r="351" spans="1:12" s="448" customFormat="1" ht="24.95" customHeight="1">
      <c r="A351" s="456"/>
      <c r="B351" s="449" t="s">
        <v>907</v>
      </c>
      <c r="C351" s="450" t="s">
        <v>5816</v>
      </c>
      <c r="D351" s="491">
        <f>'CE MINISTERIALE 2019'!D351</f>
        <v>0</v>
      </c>
      <c r="E351" s="422"/>
      <c r="F351" s="423"/>
      <c r="G351" s="441"/>
      <c r="H351" s="441"/>
      <c r="J351" s="435"/>
      <c r="L351" s="441"/>
    </row>
    <row r="352" spans="1:12" s="448" customFormat="1" ht="24.95" customHeight="1">
      <c r="A352" s="678"/>
      <c r="B352" s="449" t="s">
        <v>909</v>
      </c>
      <c r="C352" s="450" t="s">
        <v>5817</v>
      </c>
      <c r="D352" s="491">
        <f>'CE MINISTERIALE 2019'!D352</f>
        <v>17290500</v>
      </c>
      <c r="E352" s="422"/>
      <c r="F352" s="423"/>
      <c r="G352" s="441"/>
      <c r="H352" s="441"/>
      <c r="J352" s="435"/>
      <c r="L352" s="441"/>
    </row>
    <row r="353" spans="1:12" s="448" customFormat="1" ht="24.95" customHeight="1">
      <c r="A353" s="456"/>
      <c r="B353" s="442" t="s">
        <v>911</v>
      </c>
      <c r="C353" s="443" t="s">
        <v>5818</v>
      </c>
      <c r="D353" s="438">
        <f>'CE MINISTERIALE 2019'!D353</f>
        <v>321000</v>
      </c>
      <c r="E353" s="422"/>
      <c r="F353" s="440"/>
      <c r="G353" s="441"/>
      <c r="H353" s="441"/>
      <c r="J353" s="435"/>
      <c r="L353" s="441"/>
    </row>
    <row r="354" spans="1:12" s="448" customFormat="1" ht="24.95" customHeight="1">
      <c r="A354" s="456" t="s">
        <v>312</v>
      </c>
      <c r="B354" s="446" t="s">
        <v>913</v>
      </c>
      <c r="C354" s="447" t="s">
        <v>5819</v>
      </c>
      <c r="D354" s="491">
        <f>'CE MINISTERIALE 2019'!D354</f>
        <v>0</v>
      </c>
      <c r="E354" s="422"/>
      <c r="F354" s="423"/>
      <c r="G354" s="441"/>
      <c r="H354" s="441"/>
      <c r="J354" s="435"/>
      <c r="L354" s="441"/>
    </row>
    <row r="355" spans="1:12" s="448" customFormat="1" ht="24.95" customHeight="1">
      <c r="A355" s="456"/>
      <c r="B355" s="446" t="s">
        <v>915</v>
      </c>
      <c r="C355" s="447" t="s">
        <v>5820</v>
      </c>
      <c r="D355" s="491">
        <f>'CE MINISTERIALE 2019'!D355</f>
        <v>0</v>
      </c>
      <c r="E355" s="422"/>
      <c r="F355" s="423"/>
      <c r="G355" s="441"/>
      <c r="H355" s="441"/>
      <c r="J355" s="435"/>
      <c r="L355" s="441"/>
    </row>
    <row r="356" spans="1:12" s="448" customFormat="1" ht="24.95" customHeight="1">
      <c r="A356" s="456"/>
      <c r="B356" s="446" t="s">
        <v>917</v>
      </c>
      <c r="C356" s="447" t="s">
        <v>5821</v>
      </c>
      <c r="D356" s="438">
        <f>'CE MINISTERIALE 2019'!D356</f>
        <v>221000</v>
      </c>
      <c r="E356" s="422"/>
      <c r="F356" s="440"/>
      <c r="G356" s="441"/>
      <c r="H356" s="441"/>
      <c r="J356" s="435"/>
      <c r="L356" s="441"/>
    </row>
    <row r="357" spans="1:12" s="448" customFormat="1" ht="24.95" customHeight="1">
      <c r="A357" s="456"/>
      <c r="B357" s="449" t="s">
        <v>919</v>
      </c>
      <c r="C357" s="450" t="s">
        <v>5822</v>
      </c>
      <c r="D357" s="491">
        <f>'CE MINISTERIALE 2019'!D357</f>
        <v>140000</v>
      </c>
      <c r="E357" s="422"/>
      <c r="F357" s="423"/>
      <c r="G357" s="441"/>
      <c r="H357" s="441"/>
      <c r="J357" s="435"/>
      <c r="L357" s="441"/>
    </row>
    <row r="358" spans="1:12" s="448" customFormat="1" ht="24.95" customHeight="1">
      <c r="A358" s="456"/>
      <c r="B358" s="449" t="s">
        <v>921</v>
      </c>
      <c r="C358" s="450" t="s">
        <v>5823</v>
      </c>
      <c r="D358" s="491">
        <f>'CE MINISTERIALE 2019'!D358</f>
        <v>50000</v>
      </c>
      <c r="E358" s="422"/>
      <c r="F358" s="423"/>
      <c r="G358" s="441"/>
      <c r="H358" s="441"/>
      <c r="J358" s="435"/>
      <c r="L358" s="441"/>
    </row>
    <row r="359" spans="1:12" s="448" customFormat="1" ht="24.95" customHeight="1">
      <c r="A359" s="456"/>
      <c r="B359" s="449" t="s">
        <v>923</v>
      </c>
      <c r="C359" s="450" t="s">
        <v>5824</v>
      </c>
      <c r="D359" s="491">
        <f>'CE MINISTERIALE 2019'!D359</f>
        <v>0</v>
      </c>
      <c r="E359" s="422"/>
      <c r="F359" s="423"/>
      <c r="G359" s="441"/>
      <c r="H359" s="441"/>
      <c r="J359" s="435"/>
      <c r="L359" s="441"/>
    </row>
    <row r="360" spans="1:12" s="448" customFormat="1" ht="24.95" customHeight="1">
      <c r="A360" s="456"/>
      <c r="B360" s="449" t="s">
        <v>925</v>
      </c>
      <c r="C360" s="450" t="s">
        <v>5825</v>
      </c>
      <c r="D360" s="491">
        <f>'CE MINISTERIALE 2019'!D360</f>
        <v>0</v>
      </c>
      <c r="E360" s="422"/>
      <c r="F360" s="423"/>
      <c r="G360" s="441"/>
      <c r="H360" s="441"/>
      <c r="J360" s="435"/>
      <c r="L360" s="441"/>
    </row>
    <row r="361" spans="1:12" s="448" customFormat="1" ht="24.95" customHeight="1">
      <c r="A361" s="456"/>
      <c r="B361" s="449" t="s">
        <v>927</v>
      </c>
      <c r="C361" s="450" t="s">
        <v>5826</v>
      </c>
      <c r="D361" s="491">
        <f>'CE MINISTERIALE 2019'!D361</f>
        <v>31000</v>
      </c>
      <c r="E361" s="422"/>
      <c r="F361" s="423"/>
      <c r="G361" s="441"/>
      <c r="H361" s="441"/>
      <c r="J361" s="435"/>
      <c r="L361" s="441"/>
    </row>
    <row r="362" spans="1:12" s="457" customFormat="1" ht="24.95" customHeight="1">
      <c r="A362" s="456"/>
      <c r="B362" s="449" t="s">
        <v>4812</v>
      </c>
      <c r="C362" s="450" t="s">
        <v>5827</v>
      </c>
      <c r="D362" s="491">
        <f>'CE MINISTERIALE 2019'!D362</f>
        <v>0</v>
      </c>
      <c r="E362" s="422"/>
      <c r="F362" s="422"/>
      <c r="G362" s="441"/>
      <c r="H362" s="441"/>
      <c r="J362" s="435"/>
      <c r="L362" s="441"/>
    </row>
    <row r="363" spans="1:12" s="448" customFormat="1" ht="24.95" customHeight="1">
      <c r="A363" s="456"/>
      <c r="B363" s="446" t="s">
        <v>929</v>
      </c>
      <c r="C363" s="447" t="s">
        <v>5828</v>
      </c>
      <c r="D363" s="438">
        <f>'CE MINISTERIALE 2019'!D363</f>
        <v>100000</v>
      </c>
      <c r="E363" s="422"/>
      <c r="F363" s="440"/>
      <c r="G363" s="441"/>
      <c r="H363" s="441"/>
      <c r="J363" s="435"/>
      <c r="L363" s="441"/>
    </row>
    <row r="364" spans="1:12" s="448" customFormat="1" ht="24.95" customHeight="1">
      <c r="A364" s="456" t="s">
        <v>312</v>
      </c>
      <c r="B364" s="449" t="s">
        <v>22</v>
      </c>
      <c r="C364" s="450" t="s">
        <v>5829</v>
      </c>
      <c r="D364" s="491">
        <f>'CE MINISTERIALE 2019'!D364</f>
        <v>0</v>
      </c>
      <c r="E364" s="422"/>
      <c r="F364" s="423"/>
      <c r="G364" s="441"/>
      <c r="H364" s="441"/>
      <c r="J364" s="435"/>
      <c r="L364" s="441"/>
    </row>
    <row r="365" spans="1:12" s="448" customFormat="1" ht="24.95" customHeight="1">
      <c r="A365" s="456"/>
      <c r="B365" s="449" t="s">
        <v>24</v>
      </c>
      <c r="C365" s="450" t="s">
        <v>5830</v>
      </c>
      <c r="D365" s="491">
        <f>'CE MINISTERIALE 2019'!D365</f>
        <v>100000</v>
      </c>
      <c r="E365" s="422"/>
      <c r="F365" s="423"/>
      <c r="G365" s="441"/>
      <c r="H365" s="441"/>
      <c r="J365" s="435"/>
      <c r="L365" s="441"/>
    </row>
    <row r="366" spans="1:12" s="448" customFormat="1" ht="24.95" customHeight="1">
      <c r="A366" s="456" t="s">
        <v>1594</v>
      </c>
      <c r="B366" s="449" t="s">
        <v>26</v>
      </c>
      <c r="C366" s="450" t="s">
        <v>5831</v>
      </c>
      <c r="D366" s="491">
        <f>'CE MINISTERIALE 2019'!D366</f>
        <v>0</v>
      </c>
      <c r="E366" s="422"/>
      <c r="F366" s="423"/>
      <c r="G366" s="441"/>
      <c r="H366" s="441"/>
      <c r="J366" s="435"/>
      <c r="L366" s="441"/>
    </row>
    <row r="367" spans="1:12" s="448" customFormat="1" ht="24.95" customHeight="1">
      <c r="A367" s="456"/>
      <c r="B367" s="442" t="s">
        <v>28</v>
      </c>
      <c r="C367" s="443" t="s">
        <v>5832</v>
      </c>
      <c r="D367" s="438">
        <f>'CE MINISTERIALE 2019'!D367</f>
        <v>3339000</v>
      </c>
      <c r="E367" s="422"/>
      <c r="F367" s="440"/>
      <c r="G367" s="441"/>
      <c r="H367" s="441"/>
      <c r="J367" s="435"/>
      <c r="L367" s="441"/>
    </row>
    <row r="368" spans="1:12" s="448" customFormat="1" ht="24.95" customHeight="1">
      <c r="A368" s="456"/>
      <c r="B368" s="446" t="s">
        <v>30</v>
      </c>
      <c r="C368" s="447" t="s">
        <v>3914</v>
      </c>
      <c r="D368" s="491">
        <f>'CE MINISTERIALE 2019'!D368</f>
        <v>318000</v>
      </c>
      <c r="E368" s="422"/>
      <c r="F368" s="423"/>
      <c r="G368" s="441"/>
      <c r="H368" s="441"/>
      <c r="J368" s="435"/>
      <c r="L368" s="441"/>
    </row>
    <row r="369" spans="1:12" s="448" customFormat="1" ht="24.95" customHeight="1">
      <c r="A369" s="456"/>
      <c r="B369" s="446" t="s">
        <v>32</v>
      </c>
      <c r="C369" s="447" t="s">
        <v>3915</v>
      </c>
      <c r="D369" s="491">
        <f>'CE MINISTERIALE 2019'!D369</f>
        <v>3021000</v>
      </c>
      <c r="E369" s="422"/>
      <c r="F369" s="423"/>
      <c r="G369" s="441"/>
      <c r="H369" s="441"/>
      <c r="J369" s="435"/>
      <c r="L369" s="441"/>
    </row>
    <row r="370" spans="1:12" s="448" customFormat="1" ht="24.95" customHeight="1">
      <c r="A370" s="456"/>
      <c r="B370" s="436" t="s">
        <v>34</v>
      </c>
      <c r="C370" s="437" t="s">
        <v>5833</v>
      </c>
      <c r="D370" s="438">
        <f>'CE MINISTERIALE 2019'!D370</f>
        <v>24576000</v>
      </c>
      <c r="E370" s="422"/>
      <c r="F370" s="440"/>
      <c r="G370" s="441"/>
      <c r="H370" s="441"/>
      <c r="J370" s="435"/>
      <c r="L370" s="441"/>
    </row>
    <row r="371" spans="1:12" s="448" customFormat="1" ht="24.95" customHeight="1">
      <c r="A371" s="456"/>
      <c r="B371" s="442" t="s">
        <v>36</v>
      </c>
      <c r="C371" s="443" t="s">
        <v>3916</v>
      </c>
      <c r="D371" s="491">
        <f>'CE MINISTERIALE 2019'!D371</f>
        <v>7875000</v>
      </c>
      <c r="E371" s="422"/>
      <c r="F371" s="423"/>
      <c r="G371" s="441"/>
      <c r="H371" s="441"/>
      <c r="J371" s="435"/>
      <c r="L371" s="441"/>
    </row>
    <row r="372" spans="1:12" s="448" customFormat="1" ht="24.95" customHeight="1">
      <c r="A372" s="678"/>
      <c r="B372" s="442" t="s">
        <v>38</v>
      </c>
      <c r="C372" s="443" t="s">
        <v>3917</v>
      </c>
      <c r="D372" s="491">
        <f>'CE MINISTERIALE 2019'!D372</f>
        <v>125000</v>
      </c>
      <c r="E372" s="422"/>
      <c r="F372" s="423"/>
      <c r="G372" s="441"/>
      <c r="H372" s="441"/>
      <c r="J372" s="435"/>
      <c r="L372" s="441"/>
    </row>
    <row r="373" spans="1:12" s="448" customFormat="1" ht="24.95" customHeight="1">
      <c r="A373" s="678"/>
      <c r="B373" s="442" t="s">
        <v>40</v>
      </c>
      <c r="C373" s="443" t="s">
        <v>5834</v>
      </c>
      <c r="D373" s="491">
        <f>'CE MINISTERIALE 2019'!D373</f>
        <v>9233000</v>
      </c>
      <c r="E373" s="422"/>
      <c r="F373" s="423"/>
      <c r="G373" s="441"/>
      <c r="H373" s="441"/>
      <c r="J373" s="435"/>
      <c r="L373" s="441"/>
    </row>
    <row r="374" spans="1:12" s="448" customFormat="1" ht="24.95" customHeight="1">
      <c r="A374" s="678"/>
      <c r="B374" s="442" t="s">
        <v>542</v>
      </c>
      <c r="C374" s="443" t="s">
        <v>3918</v>
      </c>
      <c r="D374" s="491">
        <f>'CE MINISTERIALE 2019'!D374</f>
        <v>0</v>
      </c>
      <c r="E374" s="422"/>
      <c r="F374" s="423"/>
      <c r="G374" s="441"/>
      <c r="H374" s="441"/>
      <c r="J374" s="435"/>
      <c r="L374" s="441"/>
    </row>
    <row r="375" spans="1:12" s="448" customFormat="1" ht="24.95" customHeight="1">
      <c r="A375" s="678"/>
      <c r="B375" s="442" t="s">
        <v>544</v>
      </c>
      <c r="C375" s="443" t="s">
        <v>3919</v>
      </c>
      <c r="D375" s="491">
        <f>'CE MINISTERIALE 2019'!D375</f>
        <v>426000</v>
      </c>
      <c r="E375" s="422"/>
      <c r="F375" s="423"/>
      <c r="G375" s="441"/>
      <c r="H375" s="441"/>
      <c r="J375" s="435"/>
      <c r="L375" s="441"/>
    </row>
    <row r="376" spans="1:12" s="448" customFormat="1" ht="24.95" customHeight="1">
      <c r="A376" s="678"/>
      <c r="B376" s="442" t="s">
        <v>546</v>
      </c>
      <c r="C376" s="443" t="s">
        <v>3920</v>
      </c>
      <c r="D376" s="491">
        <f>'CE MINISTERIALE 2019'!D376</f>
        <v>6917000</v>
      </c>
      <c r="E376" s="422"/>
      <c r="F376" s="423"/>
      <c r="G376" s="441"/>
      <c r="H376" s="441"/>
      <c r="J376" s="435"/>
      <c r="L376" s="441"/>
    </row>
    <row r="377" spans="1:12" s="448" customFormat="1" ht="24.95" customHeight="1">
      <c r="A377" s="683" t="s">
        <v>312</v>
      </c>
      <c r="B377" s="442" t="s">
        <v>548</v>
      </c>
      <c r="C377" s="443" t="s">
        <v>3921</v>
      </c>
      <c r="D377" s="491">
        <f>'CE MINISTERIALE 2019'!D377</f>
        <v>0</v>
      </c>
      <c r="E377" s="422"/>
      <c r="F377" s="423"/>
      <c r="G377" s="441"/>
      <c r="H377" s="441"/>
      <c r="J377" s="435"/>
      <c r="L377" s="441"/>
    </row>
    <row r="378" spans="1:12" s="448" customFormat="1" ht="24.95" customHeight="1">
      <c r="A378" s="456"/>
      <c r="B378" s="436" t="s">
        <v>550</v>
      </c>
      <c r="C378" s="437" t="s">
        <v>5835</v>
      </c>
      <c r="D378" s="438">
        <f>'CE MINISTERIALE 2019'!D378</f>
        <v>10024000</v>
      </c>
      <c r="E378" s="422"/>
      <c r="F378" s="440"/>
      <c r="G378" s="441"/>
      <c r="H378" s="441"/>
      <c r="J378" s="435"/>
      <c r="L378" s="441"/>
    </row>
    <row r="379" spans="1:12" s="448" customFormat="1" ht="24.95" customHeight="1">
      <c r="A379" s="456"/>
      <c r="B379" s="442" t="s">
        <v>552</v>
      </c>
      <c r="C379" s="443" t="s">
        <v>5836</v>
      </c>
      <c r="D379" s="491">
        <f>'CE MINISTERIALE 2019'!D379</f>
        <v>3347000</v>
      </c>
      <c r="E379" s="422"/>
      <c r="F379" s="423"/>
      <c r="G379" s="441"/>
      <c r="H379" s="441"/>
      <c r="J379" s="435"/>
      <c r="L379" s="441"/>
    </row>
    <row r="380" spans="1:12" s="448" customFormat="1" ht="24.95" customHeight="1">
      <c r="A380" s="456"/>
      <c r="B380" s="442" t="s">
        <v>554</v>
      </c>
      <c r="C380" s="443" t="s">
        <v>3922</v>
      </c>
      <c r="D380" s="438">
        <f>'CE MINISTERIALE 2019'!D380</f>
        <v>6677000</v>
      </c>
      <c r="E380" s="422"/>
      <c r="F380" s="440"/>
      <c r="G380" s="441"/>
      <c r="H380" s="441"/>
      <c r="J380" s="435"/>
      <c r="L380" s="441"/>
    </row>
    <row r="381" spans="1:12" s="448" customFormat="1" ht="24.95" customHeight="1">
      <c r="A381" s="456"/>
      <c r="B381" s="446" t="s">
        <v>556</v>
      </c>
      <c r="C381" s="447" t="s">
        <v>5837</v>
      </c>
      <c r="D381" s="491">
        <f>'CE MINISTERIALE 2019'!D381</f>
        <v>3039000</v>
      </c>
      <c r="E381" s="422"/>
      <c r="F381" s="423"/>
      <c r="G381" s="441"/>
      <c r="H381" s="441"/>
      <c r="J381" s="435"/>
      <c r="L381" s="441"/>
    </row>
    <row r="382" spans="1:12" s="448" customFormat="1" ht="24.95" customHeight="1">
      <c r="A382" s="456"/>
      <c r="B382" s="446" t="s">
        <v>558</v>
      </c>
      <c r="C382" s="447" t="s">
        <v>5838</v>
      </c>
      <c r="D382" s="491">
        <f>'CE MINISTERIALE 2019'!D382</f>
        <v>3638000</v>
      </c>
      <c r="E382" s="422"/>
      <c r="F382" s="423"/>
      <c r="G382" s="441"/>
      <c r="H382" s="441"/>
      <c r="J382" s="435"/>
      <c r="L382" s="441"/>
    </row>
    <row r="383" spans="1:12" s="448" customFormat="1" ht="24.95" customHeight="1">
      <c r="A383" s="456"/>
      <c r="B383" s="442" t="s">
        <v>560</v>
      </c>
      <c r="C383" s="443" t="s">
        <v>3923</v>
      </c>
      <c r="D383" s="438">
        <f>'CE MINISTERIALE 2019'!D383</f>
        <v>0</v>
      </c>
      <c r="E383" s="422"/>
      <c r="F383" s="440"/>
      <c r="G383" s="441"/>
      <c r="H383" s="441"/>
      <c r="J383" s="435"/>
      <c r="L383" s="441"/>
    </row>
    <row r="384" spans="1:12" s="448" customFormat="1" ht="24.95" customHeight="1">
      <c r="A384" s="456"/>
      <c r="B384" s="446" t="s">
        <v>562</v>
      </c>
      <c r="C384" s="447" t="s">
        <v>5839</v>
      </c>
      <c r="D384" s="491">
        <f>'CE MINISTERIALE 2019'!D384</f>
        <v>0</v>
      </c>
      <c r="E384" s="422"/>
      <c r="F384" s="423"/>
      <c r="G384" s="441"/>
      <c r="H384" s="441"/>
      <c r="J384" s="435"/>
      <c r="L384" s="441"/>
    </row>
    <row r="385" spans="1:12" s="448" customFormat="1" ht="24.95" customHeight="1">
      <c r="A385" s="456"/>
      <c r="B385" s="446" t="s">
        <v>564</v>
      </c>
      <c r="C385" s="447" t="s">
        <v>5840</v>
      </c>
      <c r="D385" s="491">
        <f>'CE MINISTERIALE 2019'!D385</f>
        <v>0</v>
      </c>
      <c r="E385" s="422"/>
      <c r="F385" s="423"/>
      <c r="G385" s="441"/>
      <c r="H385" s="441"/>
      <c r="J385" s="435"/>
      <c r="L385" s="441"/>
    </row>
    <row r="386" spans="1:12" s="423" customFormat="1" ht="24.95" customHeight="1">
      <c r="A386" s="453"/>
      <c r="B386" s="442" t="s">
        <v>4814</v>
      </c>
      <c r="C386" s="443" t="s">
        <v>5841</v>
      </c>
      <c r="D386" s="491">
        <f>'CE MINISTERIALE 2019'!D386</f>
        <v>0</v>
      </c>
      <c r="E386" s="422"/>
      <c r="G386" s="441"/>
      <c r="H386" s="441"/>
      <c r="J386" s="435"/>
      <c r="L386" s="441"/>
    </row>
    <row r="387" spans="1:12" s="423" customFormat="1" ht="24.95" customHeight="1">
      <c r="A387" s="684" t="s">
        <v>312</v>
      </c>
      <c r="B387" s="442" t="s">
        <v>566</v>
      </c>
      <c r="C387" s="443" t="s">
        <v>3924</v>
      </c>
      <c r="D387" s="491">
        <f>'CE MINISTERIALE 2019'!D387</f>
        <v>0</v>
      </c>
      <c r="E387" s="422"/>
      <c r="G387" s="441"/>
      <c r="H387" s="441"/>
      <c r="J387" s="435"/>
      <c r="L387" s="441"/>
    </row>
    <row r="388" spans="1:12" s="448" customFormat="1" ht="24.95" customHeight="1">
      <c r="A388" s="456"/>
      <c r="B388" s="464" t="s">
        <v>567</v>
      </c>
      <c r="C388" s="465" t="s">
        <v>5842</v>
      </c>
      <c r="D388" s="438">
        <f>'CE MINISTERIALE 2019'!D388</f>
        <v>638988000</v>
      </c>
      <c r="E388" s="422"/>
      <c r="F388" s="440"/>
      <c r="G388" s="441"/>
      <c r="H388" s="441"/>
      <c r="J388" s="435"/>
      <c r="L388" s="441"/>
    </row>
    <row r="389" spans="1:12" s="448" customFormat="1" ht="24.95" customHeight="1">
      <c r="A389" s="456"/>
      <c r="B389" s="436" t="s">
        <v>569</v>
      </c>
      <c r="C389" s="437" t="s">
        <v>5843</v>
      </c>
      <c r="D389" s="438">
        <f>'CE MINISTERIALE 2019'!D389</f>
        <v>498981000</v>
      </c>
      <c r="E389" s="422"/>
      <c r="F389" s="440"/>
      <c r="G389" s="441"/>
      <c r="H389" s="441"/>
      <c r="J389" s="435"/>
      <c r="L389" s="441"/>
    </row>
    <row r="390" spans="1:12" s="448" customFormat="1" ht="24.95" customHeight="1">
      <c r="A390" s="456"/>
      <c r="B390" s="442" t="s">
        <v>571</v>
      </c>
      <c r="C390" s="443" t="s">
        <v>3925</v>
      </c>
      <c r="D390" s="438">
        <f>'CE MINISTERIALE 2019'!D390</f>
        <v>255201000</v>
      </c>
      <c r="E390" s="422"/>
      <c r="F390" s="440"/>
      <c r="G390" s="441"/>
      <c r="H390" s="441"/>
      <c r="J390" s="435"/>
      <c r="L390" s="441"/>
    </row>
    <row r="391" spans="1:12" s="448" customFormat="1" ht="24.95" customHeight="1">
      <c r="A391" s="456"/>
      <c r="B391" s="446" t="s">
        <v>573</v>
      </c>
      <c r="C391" s="447" t="s">
        <v>3926</v>
      </c>
      <c r="D391" s="438">
        <f>'CE MINISTERIALE 2019'!D391</f>
        <v>223621000</v>
      </c>
      <c r="E391" s="422"/>
      <c r="F391" s="440"/>
      <c r="G391" s="441"/>
      <c r="H391" s="441"/>
      <c r="J391" s="435"/>
      <c r="L391" s="441"/>
    </row>
    <row r="392" spans="1:12" s="448" customFormat="1" ht="24.95" customHeight="1">
      <c r="A392" s="678"/>
      <c r="B392" s="446" t="s">
        <v>575</v>
      </c>
      <c r="C392" s="447" t="s">
        <v>3927</v>
      </c>
      <c r="D392" s="491">
        <f>'CE MINISTERIALE 2019'!D392</f>
        <v>177741000</v>
      </c>
      <c r="E392" s="422"/>
      <c r="F392" s="423"/>
      <c r="G392" s="441"/>
      <c r="H392" s="441"/>
      <c r="J392" s="435"/>
      <c r="L392" s="441"/>
    </row>
    <row r="393" spans="1:12" s="448" customFormat="1" ht="24.95" customHeight="1">
      <c r="A393" s="678"/>
      <c r="B393" s="446" t="s">
        <v>578</v>
      </c>
      <c r="C393" s="447" t="s">
        <v>3928</v>
      </c>
      <c r="D393" s="491">
        <f>'CE MINISTERIALE 2019'!D393</f>
        <v>45804000</v>
      </c>
      <c r="E393" s="422"/>
      <c r="F393" s="423"/>
      <c r="G393" s="441"/>
      <c r="H393" s="441"/>
      <c r="J393" s="435"/>
      <c r="L393" s="441"/>
    </row>
    <row r="394" spans="1:12" s="448" customFormat="1" ht="24.95" customHeight="1">
      <c r="A394" s="678"/>
      <c r="B394" s="446" t="s">
        <v>580</v>
      </c>
      <c r="C394" s="447" t="s">
        <v>3929</v>
      </c>
      <c r="D394" s="491">
        <f>'CE MINISTERIALE 2019'!D394</f>
        <v>76000</v>
      </c>
      <c r="E394" s="422"/>
      <c r="F394" s="423"/>
      <c r="G394" s="441"/>
      <c r="H394" s="441"/>
      <c r="J394" s="435"/>
      <c r="L394" s="441"/>
    </row>
    <row r="395" spans="1:12" s="448" customFormat="1" ht="24.95" customHeight="1">
      <c r="A395" s="456"/>
      <c r="B395" s="446" t="s">
        <v>582</v>
      </c>
      <c r="C395" s="447" t="s">
        <v>3930</v>
      </c>
      <c r="D395" s="438">
        <f>'CE MINISTERIALE 2019'!D395</f>
        <v>31580000</v>
      </c>
      <c r="E395" s="422"/>
      <c r="F395" s="440"/>
      <c r="G395" s="441"/>
      <c r="H395" s="441"/>
      <c r="J395" s="435"/>
      <c r="L395" s="441"/>
    </row>
    <row r="396" spans="1:12" s="448" customFormat="1" ht="24.95" customHeight="1">
      <c r="A396" s="678"/>
      <c r="B396" s="446" t="s">
        <v>584</v>
      </c>
      <c r="C396" s="447" t="s">
        <v>3931</v>
      </c>
      <c r="D396" s="491">
        <f>'CE MINISTERIALE 2019'!D396</f>
        <v>28137000</v>
      </c>
      <c r="E396" s="422"/>
      <c r="F396" s="423"/>
      <c r="G396" s="441"/>
      <c r="H396" s="441"/>
      <c r="J396" s="435"/>
      <c r="L396" s="441"/>
    </row>
    <row r="397" spans="1:12" s="448" customFormat="1" ht="24.95" customHeight="1">
      <c r="A397" s="678"/>
      <c r="B397" s="446" t="s">
        <v>586</v>
      </c>
      <c r="C397" s="447" t="s">
        <v>3932</v>
      </c>
      <c r="D397" s="491">
        <f>'CE MINISTERIALE 2019'!D397</f>
        <v>3443000</v>
      </c>
      <c r="E397" s="422"/>
      <c r="F397" s="423"/>
      <c r="G397" s="441"/>
      <c r="H397" s="441"/>
      <c r="J397" s="435"/>
      <c r="L397" s="441"/>
    </row>
    <row r="398" spans="1:12" s="448" customFormat="1" ht="24.95" customHeight="1">
      <c r="A398" s="678"/>
      <c r="B398" s="446" t="s">
        <v>588</v>
      </c>
      <c r="C398" s="447" t="s">
        <v>3933</v>
      </c>
      <c r="D398" s="491">
        <f>'CE MINISTERIALE 2019'!D398</f>
        <v>0</v>
      </c>
      <c r="E398" s="422"/>
      <c r="F398" s="423"/>
      <c r="G398" s="441"/>
      <c r="H398" s="441"/>
      <c r="J398" s="435"/>
      <c r="L398" s="441"/>
    </row>
    <row r="399" spans="1:12" s="448" customFormat="1" ht="24.95" customHeight="1">
      <c r="A399" s="456"/>
      <c r="B399" s="442" t="s">
        <v>590</v>
      </c>
      <c r="C399" s="443" t="s">
        <v>3934</v>
      </c>
      <c r="D399" s="438">
        <f>'CE MINISTERIALE 2019'!D399</f>
        <v>243780000</v>
      </c>
      <c r="E399" s="422"/>
      <c r="F399" s="440"/>
      <c r="G399" s="441"/>
      <c r="H399" s="441"/>
      <c r="J399" s="435"/>
      <c r="L399" s="441"/>
    </row>
    <row r="400" spans="1:12" s="448" customFormat="1" ht="24.95" customHeight="1">
      <c r="A400" s="678"/>
      <c r="B400" s="446" t="s">
        <v>592</v>
      </c>
      <c r="C400" s="447" t="s">
        <v>3935</v>
      </c>
      <c r="D400" s="491">
        <f>'CE MINISTERIALE 2019'!D400</f>
        <v>207823000</v>
      </c>
      <c r="E400" s="422"/>
      <c r="F400" s="423"/>
      <c r="G400" s="441"/>
      <c r="H400" s="441"/>
      <c r="J400" s="435"/>
      <c r="L400" s="441"/>
    </row>
    <row r="401" spans="1:12" s="448" customFormat="1" ht="24.95" customHeight="1">
      <c r="A401" s="678"/>
      <c r="B401" s="446" t="s">
        <v>1443</v>
      </c>
      <c r="C401" s="447" t="s">
        <v>5844</v>
      </c>
      <c r="D401" s="491">
        <f>'CE MINISTERIALE 2019'!D401</f>
        <v>35957000</v>
      </c>
      <c r="E401" s="422"/>
      <c r="F401" s="423"/>
      <c r="G401" s="441"/>
      <c r="H401" s="441"/>
      <c r="J401" s="435"/>
      <c r="L401" s="441"/>
    </row>
    <row r="402" spans="1:12" s="448" customFormat="1" ht="24.95" customHeight="1">
      <c r="A402" s="678"/>
      <c r="B402" s="446" t="s">
        <v>1445</v>
      </c>
      <c r="C402" s="447" t="s">
        <v>3936</v>
      </c>
      <c r="D402" s="491">
        <f>'CE MINISTERIALE 2019'!D402</f>
        <v>0</v>
      </c>
      <c r="E402" s="422"/>
      <c r="F402" s="423"/>
      <c r="G402" s="441"/>
      <c r="H402" s="441"/>
      <c r="J402" s="435"/>
      <c r="L402" s="441"/>
    </row>
    <row r="403" spans="1:12" s="448" customFormat="1" ht="24.95" customHeight="1">
      <c r="A403" s="456"/>
      <c r="B403" s="436" t="s">
        <v>1447</v>
      </c>
      <c r="C403" s="437" t="s">
        <v>5845</v>
      </c>
      <c r="D403" s="438">
        <f>'CE MINISTERIALE 2019'!D403</f>
        <v>3208000</v>
      </c>
      <c r="E403" s="422"/>
      <c r="F403" s="440"/>
      <c r="G403" s="441"/>
      <c r="H403" s="441"/>
      <c r="J403" s="435"/>
      <c r="L403" s="441"/>
    </row>
    <row r="404" spans="1:12" s="448" customFormat="1" ht="24.95" customHeight="1">
      <c r="A404" s="456"/>
      <c r="B404" s="442" t="s">
        <v>1449</v>
      </c>
      <c r="C404" s="443" t="s">
        <v>3937</v>
      </c>
      <c r="D404" s="438">
        <f>'CE MINISTERIALE 2019'!D404</f>
        <v>1550000</v>
      </c>
      <c r="E404" s="422"/>
      <c r="F404" s="440"/>
      <c r="G404" s="441"/>
      <c r="H404" s="441"/>
      <c r="J404" s="435"/>
      <c r="L404" s="441"/>
    </row>
    <row r="405" spans="1:12" s="448" customFormat="1" ht="24.95" customHeight="1">
      <c r="A405" s="678"/>
      <c r="B405" s="446" t="s">
        <v>1450</v>
      </c>
      <c r="C405" s="447" t="s">
        <v>3938</v>
      </c>
      <c r="D405" s="491">
        <f>'CE MINISTERIALE 2019'!D405</f>
        <v>1530000</v>
      </c>
      <c r="E405" s="422"/>
      <c r="F405" s="423"/>
      <c r="G405" s="441"/>
      <c r="H405" s="441"/>
      <c r="J405" s="435"/>
      <c r="L405" s="441"/>
    </row>
    <row r="406" spans="1:12" s="448" customFormat="1" ht="24.95" customHeight="1">
      <c r="A406" s="678"/>
      <c r="B406" s="446" t="s">
        <v>1452</v>
      </c>
      <c r="C406" s="447" t="s">
        <v>3939</v>
      </c>
      <c r="D406" s="491">
        <f>'CE MINISTERIALE 2019'!D406</f>
        <v>20000</v>
      </c>
      <c r="E406" s="422"/>
      <c r="F406" s="423"/>
      <c r="G406" s="441"/>
      <c r="H406" s="441"/>
      <c r="J406" s="435"/>
      <c r="L406" s="441"/>
    </row>
    <row r="407" spans="1:12" s="448" customFormat="1" ht="24.95" customHeight="1">
      <c r="A407" s="678"/>
      <c r="B407" s="446" t="s">
        <v>1454</v>
      </c>
      <c r="C407" s="447" t="s">
        <v>3940</v>
      </c>
      <c r="D407" s="491">
        <f>'CE MINISTERIALE 2019'!D407</f>
        <v>0</v>
      </c>
      <c r="E407" s="422"/>
      <c r="F407" s="423"/>
      <c r="G407" s="441"/>
      <c r="H407" s="441"/>
      <c r="J407" s="435"/>
      <c r="L407" s="441"/>
    </row>
    <row r="408" spans="1:12" s="448" customFormat="1" ht="24.95" customHeight="1">
      <c r="A408" s="456"/>
      <c r="B408" s="442" t="s">
        <v>1456</v>
      </c>
      <c r="C408" s="443" t="s">
        <v>3941</v>
      </c>
      <c r="D408" s="438">
        <f>'CE MINISTERIALE 2019'!D408</f>
        <v>1658000</v>
      </c>
      <c r="E408" s="422"/>
      <c r="F408" s="440"/>
      <c r="G408" s="441"/>
      <c r="H408" s="441"/>
      <c r="J408" s="435"/>
      <c r="L408" s="441"/>
    </row>
    <row r="409" spans="1:12" s="448" customFormat="1" ht="24.95" customHeight="1">
      <c r="A409" s="678"/>
      <c r="B409" s="446" t="s">
        <v>1458</v>
      </c>
      <c r="C409" s="447" t="s">
        <v>3942</v>
      </c>
      <c r="D409" s="491">
        <f>'CE MINISTERIALE 2019'!D409</f>
        <v>1397000</v>
      </c>
      <c r="E409" s="422"/>
      <c r="F409" s="423"/>
      <c r="G409" s="441"/>
      <c r="H409" s="441"/>
      <c r="J409" s="435"/>
      <c r="L409" s="441"/>
    </row>
    <row r="410" spans="1:12" s="448" customFormat="1" ht="24.95" customHeight="1">
      <c r="A410" s="678"/>
      <c r="B410" s="446" t="s">
        <v>1460</v>
      </c>
      <c r="C410" s="447" t="s">
        <v>3943</v>
      </c>
      <c r="D410" s="491">
        <f>'CE MINISTERIALE 2019'!D410</f>
        <v>261000</v>
      </c>
      <c r="E410" s="422"/>
      <c r="F410" s="423"/>
      <c r="G410" s="441"/>
      <c r="H410" s="441"/>
      <c r="J410" s="435"/>
      <c r="L410" s="441"/>
    </row>
    <row r="411" spans="1:12" s="448" customFormat="1" ht="24.95" customHeight="1">
      <c r="A411" s="678"/>
      <c r="B411" s="446" t="s">
        <v>1462</v>
      </c>
      <c r="C411" s="447" t="s">
        <v>3944</v>
      </c>
      <c r="D411" s="491">
        <f>'CE MINISTERIALE 2019'!D411</f>
        <v>0</v>
      </c>
      <c r="E411" s="422"/>
      <c r="F411" s="423"/>
      <c r="G411" s="441"/>
      <c r="H411" s="441"/>
      <c r="J411" s="435"/>
      <c r="L411" s="441"/>
    </row>
    <row r="412" spans="1:12" s="448" customFormat="1" ht="24.95" customHeight="1">
      <c r="A412" s="456"/>
      <c r="B412" s="436" t="s">
        <v>1464</v>
      </c>
      <c r="C412" s="437" t="s">
        <v>5846</v>
      </c>
      <c r="D412" s="438">
        <f>'CE MINISTERIALE 2019'!D412</f>
        <v>82915000</v>
      </c>
      <c r="E412" s="422"/>
      <c r="F412" s="440"/>
      <c r="G412" s="441"/>
      <c r="H412" s="441"/>
      <c r="J412" s="435"/>
      <c r="L412" s="441"/>
    </row>
    <row r="413" spans="1:12" s="448" customFormat="1" ht="24.95" customHeight="1">
      <c r="A413" s="456"/>
      <c r="B413" s="442" t="s">
        <v>1466</v>
      </c>
      <c r="C413" s="443" t="s">
        <v>5847</v>
      </c>
      <c r="D413" s="438">
        <f>'CE MINISTERIALE 2019'!D413</f>
        <v>932000</v>
      </c>
      <c r="E413" s="422"/>
      <c r="F413" s="440"/>
      <c r="G413" s="441"/>
      <c r="H413" s="441"/>
      <c r="J413" s="435"/>
      <c r="L413" s="441"/>
    </row>
    <row r="414" spans="1:12" s="448" customFormat="1" ht="24.95" customHeight="1">
      <c r="A414" s="678"/>
      <c r="B414" s="446" t="s">
        <v>1468</v>
      </c>
      <c r="C414" s="447" t="s">
        <v>3945</v>
      </c>
      <c r="D414" s="491">
        <f>'CE MINISTERIALE 2019'!D414</f>
        <v>886000</v>
      </c>
      <c r="E414" s="422"/>
      <c r="F414" s="423"/>
      <c r="G414" s="441"/>
      <c r="H414" s="441"/>
      <c r="J414" s="435"/>
      <c r="L414" s="441"/>
    </row>
    <row r="415" spans="1:12" s="448" customFormat="1" ht="24.95" customHeight="1">
      <c r="A415" s="678"/>
      <c r="B415" s="446" t="s">
        <v>1470</v>
      </c>
      <c r="C415" s="447" t="s">
        <v>3946</v>
      </c>
      <c r="D415" s="491">
        <f>'CE MINISTERIALE 2019'!D415</f>
        <v>46000</v>
      </c>
      <c r="E415" s="422"/>
      <c r="F415" s="423"/>
      <c r="G415" s="441"/>
      <c r="H415" s="441"/>
      <c r="J415" s="435"/>
      <c r="L415" s="441"/>
    </row>
    <row r="416" spans="1:12" s="448" customFormat="1" ht="24.95" customHeight="1">
      <c r="A416" s="678"/>
      <c r="B416" s="446" t="s">
        <v>1472</v>
      </c>
      <c r="C416" s="447" t="s">
        <v>3947</v>
      </c>
      <c r="D416" s="491">
        <f>'CE MINISTERIALE 2019'!D416</f>
        <v>0</v>
      </c>
      <c r="E416" s="422"/>
      <c r="F416" s="423"/>
      <c r="G416" s="441"/>
      <c r="H416" s="441"/>
      <c r="J416" s="435"/>
      <c r="L416" s="441"/>
    </row>
    <row r="417" spans="1:12" s="448" customFormat="1" ht="24.95" customHeight="1">
      <c r="A417" s="456"/>
      <c r="B417" s="442" t="s">
        <v>324</v>
      </c>
      <c r="C417" s="443" t="s">
        <v>3948</v>
      </c>
      <c r="D417" s="438">
        <f>'CE MINISTERIALE 2019'!D417</f>
        <v>81983000</v>
      </c>
      <c r="E417" s="422"/>
      <c r="F417" s="440"/>
      <c r="G417" s="441"/>
      <c r="H417" s="441"/>
      <c r="J417" s="435"/>
      <c r="L417" s="441"/>
    </row>
    <row r="418" spans="1:12" s="448" customFormat="1" ht="24.95" customHeight="1">
      <c r="A418" s="678"/>
      <c r="B418" s="446" t="s">
        <v>1163</v>
      </c>
      <c r="C418" s="447" t="s">
        <v>3949</v>
      </c>
      <c r="D418" s="491">
        <f>'CE MINISTERIALE 2019'!D418</f>
        <v>77265000</v>
      </c>
      <c r="E418" s="422"/>
      <c r="F418" s="423"/>
      <c r="G418" s="441"/>
      <c r="H418" s="441"/>
      <c r="J418" s="435"/>
      <c r="L418" s="441"/>
    </row>
    <row r="419" spans="1:12" s="448" customFormat="1" ht="24.95" customHeight="1">
      <c r="A419" s="678"/>
      <c r="B419" s="446" t="s">
        <v>1165</v>
      </c>
      <c r="C419" s="447" t="s">
        <v>3950</v>
      </c>
      <c r="D419" s="491">
        <f>'CE MINISTERIALE 2019'!D419</f>
        <v>4718000</v>
      </c>
      <c r="E419" s="422"/>
      <c r="F419" s="423"/>
      <c r="G419" s="441"/>
      <c r="H419" s="441"/>
      <c r="J419" s="435"/>
      <c r="L419" s="441"/>
    </row>
    <row r="420" spans="1:12" s="448" customFormat="1" ht="24.95" customHeight="1">
      <c r="A420" s="678"/>
      <c r="B420" s="446" t="s">
        <v>1167</v>
      </c>
      <c r="C420" s="447" t="s">
        <v>3951</v>
      </c>
      <c r="D420" s="491">
        <f>'CE MINISTERIALE 2019'!D420</f>
        <v>0</v>
      </c>
      <c r="E420" s="422"/>
      <c r="F420" s="423"/>
      <c r="G420" s="441"/>
      <c r="H420" s="441"/>
      <c r="J420" s="435"/>
      <c r="L420" s="441"/>
    </row>
    <row r="421" spans="1:12" s="448" customFormat="1" ht="24.95" customHeight="1">
      <c r="A421" s="456"/>
      <c r="B421" s="436" t="s">
        <v>1169</v>
      </c>
      <c r="C421" s="437" t="s">
        <v>5848</v>
      </c>
      <c r="D421" s="438">
        <f>'CE MINISTERIALE 2019'!D421</f>
        <v>53884000</v>
      </c>
      <c r="E421" s="422"/>
      <c r="F421" s="440"/>
      <c r="G421" s="441"/>
      <c r="H421" s="441"/>
      <c r="J421" s="435"/>
      <c r="L421" s="441"/>
    </row>
    <row r="422" spans="1:12" s="448" customFormat="1" ht="24.95" customHeight="1">
      <c r="A422" s="456"/>
      <c r="B422" s="442" t="s">
        <v>1171</v>
      </c>
      <c r="C422" s="443" t="s">
        <v>5849</v>
      </c>
      <c r="D422" s="438">
        <f>'CE MINISTERIALE 2019'!D422</f>
        <v>6827000</v>
      </c>
      <c r="E422" s="422"/>
      <c r="F422" s="440"/>
      <c r="G422" s="441"/>
      <c r="H422" s="441"/>
      <c r="J422" s="435"/>
      <c r="L422" s="441"/>
    </row>
    <row r="423" spans="1:12" s="448" customFormat="1" ht="24.95" customHeight="1">
      <c r="A423" s="678"/>
      <c r="B423" s="446" t="s">
        <v>1173</v>
      </c>
      <c r="C423" s="447" t="s">
        <v>3952</v>
      </c>
      <c r="D423" s="491">
        <f>'CE MINISTERIALE 2019'!D423</f>
        <v>6688000</v>
      </c>
      <c r="E423" s="422"/>
      <c r="F423" s="423"/>
      <c r="G423" s="441"/>
      <c r="H423" s="441"/>
      <c r="J423" s="435"/>
      <c r="L423" s="441"/>
    </row>
    <row r="424" spans="1:12" s="448" customFormat="1" ht="24.95" customHeight="1">
      <c r="A424" s="678"/>
      <c r="B424" s="446" t="s">
        <v>1175</v>
      </c>
      <c r="C424" s="447" t="s">
        <v>3953</v>
      </c>
      <c r="D424" s="491">
        <f>'CE MINISTERIALE 2019'!D424</f>
        <v>139000</v>
      </c>
      <c r="E424" s="422"/>
      <c r="F424" s="423"/>
      <c r="G424" s="441"/>
      <c r="H424" s="441"/>
      <c r="J424" s="435"/>
      <c r="L424" s="441"/>
    </row>
    <row r="425" spans="1:12" s="448" customFormat="1" ht="24.95" customHeight="1">
      <c r="A425" s="678"/>
      <c r="B425" s="446" t="s">
        <v>1177</v>
      </c>
      <c r="C425" s="447" t="s">
        <v>3954</v>
      </c>
      <c r="D425" s="491">
        <f>'CE MINISTERIALE 2019'!D425</f>
        <v>0</v>
      </c>
      <c r="E425" s="422"/>
      <c r="F425" s="423"/>
      <c r="G425" s="441"/>
      <c r="H425" s="441"/>
      <c r="J425" s="435"/>
      <c r="L425" s="441"/>
    </row>
    <row r="426" spans="1:12" s="448" customFormat="1" ht="24.95" customHeight="1">
      <c r="A426" s="456"/>
      <c r="B426" s="442" t="s">
        <v>1179</v>
      </c>
      <c r="C426" s="443" t="s">
        <v>3955</v>
      </c>
      <c r="D426" s="438">
        <f>'CE MINISTERIALE 2019'!D426</f>
        <v>47057000</v>
      </c>
      <c r="E426" s="422"/>
      <c r="F426" s="440"/>
      <c r="G426" s="441"/>
      <c r="H426" s="441"/>
      <c r="J426" s="435"/>
      <c r="L426" s="441"/>
    </row>
    <row r="427" spans="1:12" s="448" customFormat="1" ht="24.95" customHeight="1">
      <c r="A427" s="678"/>
      <c r="B427" s="446" t="s">
        <v>1181</v>
      </c>
      <c r="C427" s="447" t="s">
        <v>3956</v>
      </c>
      <c r="D427" s="491">
        <f>'CE MINISTERIALE 2019'!D427</f>
        <v>44132000</v>
      </c>
      <c r="E427" s="422"/>
      <c r="F427" s="423"/>
      <c r="G427" s="441"/>
      <c r="H427" s="441"/>
      <c r="J427" s="435"/>
      <c r="L427" s="441"/>
    </row>
    <row r="428" spans="1:12" s="448" customFormat="1" ht="24.95" customHeight="1">
      <c r="A428" s="678"/>
      <c r="B428" s="446" t="s">
        <v>1183</v>
      </c>
      <c r="C428" s="447" t="s">
        <v>3957</v>
      </c>
      <c r="D428" s="491">
        <f>'CE MINISTERIALE 2019'!D428</f>
        <v>2925000</v>
      </c>
      <c r="E428" s="422"/>
      <c r="F428" s="423"/>
      <c r="G428" s="441"/>
      <c r="H428" s="441"/>
      <c r="J428" s="435"/>
      <c r="L428" s="441"/>
    </row>
    <row r="429" spans="1:12" s="448" customFormat="1" ht="24.95" customHeight="1">
      <c r="A429" s="678"/>
      <c r="B429" s="446" t="s">
        <v>1185</v>
      </c>
      <c r="C429" s="447" t="s">
        <v>3958</v>
      </c>
      <c r="D429" s="491">
        <f>'CE MINISTERIALE 2019'!D429</f>
        <v>0</v>
      </c>
      <c r="E429" s="422"/>
      <c r="F429" s="423"/>
      <c r="G429" s="441"/>
      <c r="H429" s="441"/>
      <c r="J429" s="435"/>
      <c r="L429" s="441"/>
    </row>
    <row r="430" spans="1:12" s="448" customFormat="1" ht="24.95" customHeight="1">
      <c r="A430" s="456"/>
      <c r="B430" s="436" t="s">
        <v>1187</v>
      </c>
      <c r="C430" s="437" t="s">
        <v>5850</v>
      </c>
      <c r="D430" s="438">
        <f>'CE MINISTERIALE 2019'!D430</f>
        <v>3526500</v>
      </c>
      <c r="E430" s="422"/>
      <c r="F430" s="440"/>
      <c r="G430" s="441"/>
      <c r="H430" s="441"/>
      <c r="J430" s="435"/>
      <c r="L430" s="441"/>
    </row>
    <row r="431" spans="1:12" s="448" customFormat="1" ht="24.95" customHeight="1">
      <c r="A431" s="456"/>
      <c r="B431" s="442" t="s">
        <v>1189</v>
      </c>
      <c r="C431" s="443" t="s">
        <v>3959</v>
      </c>
      <c r="D431" s="491">
        <f>'CE MINISTERIALE 2019'!D431</f>
        <v>532000</v>
      </c>
      <c r="E431" s="422"/>
      <c r="F431" s="423"/>
      <c r="G431" s="441"/>
      <c r="H431" s="441"/>
      <c r="J431" s="435"/>
      <c r="L431" s="441"/>
    </row>
    <row r="432" spans="1:12" s="448" customFormat="1" ht="24.95" customHeight="1">
      <c r="A432" s="456"/>
      <c r="B432" s="442" t="s">
        <v>1191</v>
      </c>
      <c r="C432" s="443" t="s">
        <v>3960</v>
      </c>
      <c r="D432" s="491">
        <f>'CE MINISTERIALE 2019'!D432</f>
        <v>5000</v>
      </c>
      <c r="E432" s="422"/>
      <c r="F432" s="423"/>
      <c r="G432" s="441"/>
      <c r="H432" s="441"/>
      <c r="J432" s="435"/>
      <c r="L432" s="441"/>
    </row>
    <row r="433" spans="1:12" s="448" customFormat="1" ht="24.95" customHeight="1">
      <c r="A433" s="456"/>
      <c r="B433" s="442" t="s">
        <v>1193</v>
      </c>
      <c r="C433" s="443" t="s">
        <v>5851</v>
      </c>
      <c r="D433" s="438">
        <f>'CE MINISTERIALE 2019'!D433</f>
        <v>2989500</v>
      </c>
      <c r="E433" s="422"/>
      <c r="F433" s="440"/>
      <c r="G433" s="441"/>
      <c r="H433" s="441"/>
      <c r="J433" s="435"/>
      <c r="L433" s="441"/>
    </row>
    <row r="434" spans="1:12" s="448" customFormat="1" ht="24.95" customHeight="1">
      <c r="A434" s="456"/>
      <c r="B434" s="446" t="s">
        <v>1195</v>
      </c>
      <c r="C434" s="447" t="s">
        <v>3961</v>
      </c>
      <c r="D434" s="491">
        <f>'CE MINISTERIALE 2019'!D434</f>
        <v>1769000</v>
      </c>
      <c r="E434" s="422"/>
      <c r="F434" s="423"/>
      <c r="G434" s="441"/>
      <c r="H434" s="441"/>
      <c r="J434" s="435"/>
      <c r="L434" s="441"/>
    </row>
    <row r="435" spans="1:12" s="448" customFormat="1" ht="24.95" customHeight="1">
      <c r="A435" s="678"/>
      <c r="B435" s="446" t="s">
        <v>1197</v>
      </c>
      <c r="C435" s="447" t="s">
        <v>3962</v>
      </c>
      <c r="D435" s="491">
        <f>'CE MINISTERIALE 2019'!D435</f>
        <v>1220500</v>
      </c>
      <c r="E435" s="422"/>
      <c r="F435" s="423"/>
      <c r="G435" s="441"/>
      <c r="H435" s="441"/>
      <c r="J435" s="435"/>
      <c r="L435" s="441"/>
    </row>
    <row r="436" spans="1:12" s="457" customFormat="1" ht="24.95" customHeight="1">
      <c r="A436" s="678" t="s">
        <v>312</v>
      </c>
      <c r="B436" s="446" t="s">
        <v>4817</v>
      </c>
      <c r="C436" s="447" t="s">
        <v>5852</v>
      </c>
      <c r="D436" s="491">
        <f>'CE MINISTERIALE 2019'!D436</f>
        <v>0</v>
      </c>
      <c r="E436" s="422"/>
      <c r="F436" s="422"/>
      <c r="G436" s="441"/>
      <c r="H436" s="441"/>
      <c r="J436" s="435"/>
      <c r="L436" s="441"/>
    </row>
    <row r="437" spans="1:12" s="457" customFormat="1" ht="24.95" customHeight="1">
      <c r="A437" s="678"/>
      <c r="B437" s="446" t="s">
        <v>4819</v>
      </c>
      <c r="C437" s="447" t="s">
        <v>5853</v>
      </c>
      <c r="D437" s="491">
        <f>'CE MINISTERIALE 2019'!D437</f>
        <v>0</v>
      </c>
      <c r="E437" s="422"/>
      <c r="F437" s="422"/>
      <c r="G437" s="441"/>
      <c r="H437" s="441"/>
      <c r="J437" s="435"/>
      <c r="L437" s="441"/>
    </row>
    <row r="438" spans="1:12" s="448" customFormat="1" ht="24.95" customHeight="1">
      <c r="A438" s="456"/>
      <c r="B438" s="464" t="s">
        <v>1199</v>
      </c>
      <c r="C438" s="465" t="s">
        <v>5854</v>
      </c>
      <c r="D438" s="438">
        <f>'CE MINISTERIALE 2019'!D438</f>
        <v>26864000</v>
      </c>
      <c r="E438" s="422"/>
      <c r="F438" s="440"/>
      <c r="G438" s="441"/>
      <c r="H438" s="441"/>
      <c r="J438" s="435"/>
      <c r="L438" s="441"/>
    </row>
    <row r="439" spans="1:12" s="448" customFormat="1" ht="24.95" customHeight="1">
      <c r="A439" s="456"/>
      <c r="B439" s="436" t="s">
        <v>1201</v>
      </c>
      <c r="C439" s="437" t="s">
        <v>3963</v>
      </c>
      <c r="D439" s="491">
        <f>'CE MINISTERIALE 2019'!D439</f>
        <v>11144000</v>
      </c>
      <c r="E439" s="422"/>
      <c r="F439" s="423"/>
      <c r="G439" s="441"/>
      <c r="H439" s="441"/>
      <c r="J439" s="435"/>
      <c r="L439" s="441"/>
    </row>
    <row r="440" spans="1:12" s="448" customFormat="1" ht="24.95" customHeight="1">
      <c r="A440" s="456"/>
      <c r="B440" s="436" t="s">
        <v>1203</v>
      </c>
      <c r="C440" s="437" t="s">
        <v>3964</v>
      </c>
      <c r="D440" s="438">
        <f>'CE MINISTERIALE 2019'!D440</f>
        <v>15720000</v>
      </c>
      <c r="E440" s="422"/>
      <c r="F440" s="440"/>
      <c r="G440" s="441"/>
      <c r="H440" s="441"/>
      <c r="J440" s="435"/>
      <c r="L440" s="441"/>
    </row>
    <row r="441" spans="1:12" s="423" customFormat="1" ht="24.95" customHeight="1">
      <c r="A441" s="453"/>
      <c r="B441" s="442" t="s">
        <v>1205</v>
      </c>
      <c r="C441" s="443" t="s">
        <v>5855</v>
      </c>
      <c r="D441" s="438">
        <f>'CE MINISTERIALE 2019'!D441</f>
        <v>0</v>
      </c>
      <c r="E441" s="422"/>
      <c r="F441" s="440"/>
      <c r="G441" s="441"/>
      <c r="H441" s="441"/>
      <c r="J441" s="435"/>
      <c r="L441" s="441"/>
    </row>
    <row r="442" spans="1:12" s="423" customFormat="1" ht="24.95" customHeight="1">
      <c r="A442" s="453"/>
      <c r="B442" s="446" t="s">
        <v>1206</v>
      </c>
      <c r="C442" s="447" t="s">
        <v>5856</v>
      </c>
      <c r="D442" s="491">
        <f>'CE MINISTERIALE 2019'!D442</f>
        <v>0</v>
      </c>
      <c r="E442" s="422"/>
      <c r="G442" s="441"/>
      <c r="H442" s="441"/>
      <c r="J442" s="435"/>
      <c r="L442" s="441"/>
    </row>
    <row r="443" spans="1:12" s="423" customFormat="1" ht="24.95" customHeight="1">
      <c r="A443" s="453"/>
      <c r="B443" s="446" t="s">
        <v>1207</v>
      </c>
      <c r="C443" s="447" t="s">
        <v>5857</v>
      </c>
      <c r="D443" s="491">
        <f>'CE MINISTERIALE 2019'!D443</f>
        <v>0</v>
      </c>
      <c r="E443" s="422"/>
      <c r="G443" s="441"/>
      <c r="H443" s="441"/>
      <c r="J443" s="435"/>
      <c r="L443" s="441"/>
    </row>
    <row r="444" spans="1:12" s="423" customFormat="1" ht="24.95" customHeight="1">
      <c r="A444" s="453"/>
      <c r="B444" s="436" t="s">
        <v>1208</v>
      </c>
      <c r="C444" s="437" t="s">
        <v>5858</v>
      </c>
      <c r="D444" s="491">
        <f>'CE MINISTERIALE 2019'!D444</f>
        <v>15720000</v>
      </c>
      <c r="E444" s="422"/>
      <c r="G444" s="441"/>
      <c r="H444" s="441"/>
      <c r="J444" s="435"/>
      <c r="L444" s="441"/>
    </row>
    <row r="445" spans="1:12" s="423" customFormat="1" ht="24.95" customHeight="1">
      <c r="A445" s="453"/>
      <c r="B445" s="436" t="s">
        <v>1209</v>
      </c>
      <c r="C445" s="437" t="s">
        <v>5859</v>
      </c>
      <c r="D445" s="438">
        <f>'CE MINISTERIALE 2019'!D445</f>
        <v>1050000</v>
      </c>
      <c r="E445" s="422"/>
      <c r="F445" s="440"/>
      <c r="G445" s="441"/>
      <c r="H445" s="441"/>
      <c r="J445" s="435"/>
      <c r="L445" s="441"/>
    </row>
    <row r="446" spans="1:12" s="423" customFormat="1" ht="24.95" customHeight="1">
      <c r="A446" s="453"/>
      <c r="B446" s="442" t="s">
        <v>116</v>
      </c>
      <c r="C446" s="443" t="s">
        <v>5860</v>
      </c>
      <c r="D446" s="491">
        <f>'CE MINISTERIALE 2019'!D446</f>
        <v>0</v>
      </c>
      <c r="E446" s="422"/>
      <c r="G446" s="441"/>
      <c r="H446" s="441"/>
      <c r="J446" s="435"/>
      <c r="L446" s="441"/>
    </row>
    <row r="447" spans="1:12" s="423" customFormat="1" ht="24.95" customHeight="1">
      <c r="A447" s="453"/>
      <c r="B447" s="442" t="s">
        <v>117</v>
      </c>
      <c r="C447" s="443" t="s">
        <v>5861</v>
      </c>
      <c r="D447" s="491">
        <f>'CE MINISTERIALE 2019'!D447</f>
        <v>1050000</v>
      </c>
      <c r="E447" s="422"/>
      <c r="G447" s="441"/>
      <c r="H447" s="441"/>
      <c r="J447" s="435"/>
      <c r="L447" s="441"/>
    </row>
    <row r="448" spans="1:12" s="423" customFormat="1" ht="24.95" customHeight="1">
      <c r="A448" s="453"/>
      <c r="B448" s="436" t="s">
        <v>118</v>
      </c>
      <c r="C448" s="437" t="s">
        <v>5862</v>
      </c>
      <c r="D448" s="438">
        <f>'CE MINISTERIALE 2019'!D448</f>
        <v>155000</v>
      </c>
      <c r="E448" s="422"/>
      <c r="F448" s="440"/>
      <c r="G448" s="441"/>
      <c r="H448" s="441"/>
      <c r="J448" s="435"/>
      <c r="L448" s="441"/>
    </row>
    <row r="449" spans="1:29" s="423" customFormat="1" ht="24.95" customHeight="1">
      <c r="A449" s="453"/>
      <c r="B449" s="442" t="s">
        <v>119</v>
      </c>
      <c r="C449" s="443" t="s">
        <v>5863</v>
      </c>
      <c r="D449" s="438">
        <f>'CE MINISTERIALE 2019'!D449</f>
        <v>110000</v>
      </c>
      <c r="E449" s="422"/>
      <c r="F449" s="440"/>
      <c r="G449" s="441"/>
      <c r="H449" s="441"/>
      <c r="J449" s="435"/>
      <c r="L449" s="441"/>
      <c r="AC449" s="514"/>
    </row>
    <row r="450" spans="1:29" s="423" customFormat="1" ht="24.95" customHeight="1">
      <c r="A450" s="453"/>
      <c r="B450" s="446" t="s">
        <v>4830</v>
      </c>
      <c r="C450" s="447" t="s">
        <v>5864</v>
      </c>
      <c r="D450" s="491">
        <f>'CE MINISTERIALE 2019'!D450</f>
        <v>30000</v>
      </c>
      <c r="E450" s="422"/>
      <c r="G450" s="441"/>
      <c r="H450" s="441"/>
      <c r="J450" s="435"/>
      <c r="L450" s="441"/>
    </row>
    <row r="451" spans="1:29" s="423" customFormat="1" ht="24.95" customHeight="1">
      <c r="A451" s="453"/>
      <c r="B451" s="446" t="s">
        <v>4832</v>
      </c>
      <c r="C451" s="447" t="s">
        <v>5865</v>
      </c>
      <c r="D451" s="491">
        <f>'CE MINISTERIALE 2019'!D451</f>
        <v>0</v>
      </c>
      <c r="E451" s="422"/>
      <c r="G451" s="441"/>
      <c r="H451" s="441"/>
      <c r="J451" s="435"/>
      <c r="L451" s="441"/>
    </row>
    <row r="452" spans="1:29" s="423" customFormat="1" ht="24.95" customHeight="1">
      <c r="A452" s="453"/>
      <c r="B452" s="446" t="s">
        <v>4834</v>
      </c>
      <c r="C452" s="447" t="s">
        <v>5866</v>
      </c>
      <c r="D452" s="491">
        <f>'CE MINISTERIALE 2019'!D452</f>
        <v>62000</v>
      </c>
      <c r="E452" s="422"/>
      <c r="G452" s="441"/>
      <c r="H452" s="441"/>
      <c r="J452" s="435"/>
      <c r="L452" s="441"/>
    </row>
    <row r="453" spans="1:29" s="423" customFormat="1" ht="24.95" customHeight="1">
      <c r="A453" s="453"/>
      <c r="B453" s="446" t="s">
        <v>4836</v>
      </c>
      <c r="C453" s="447" t="s">
        <v>5867</v>
      </c>
      <c r="D453" s="491">
        <f>'CE MINISTERIALE 2019'!D453</f>
        <v>3000</v>
      </c>
      <c r="E453" s="422"/>
      <c r="G453" s="441"/>
      <c r="H453" s="441"/>
      <c r="J453" s="435"/>
      <c r="L453" s="441"/>
    </row>
    <row r="454" spans="1:29" s="423" customFormat="1" ht="24.95" customHeight="1">
      <c r="A454" s="453"/>
      <c r="B454" s="446" t="s">
        <v>4838</v>
      </c>
      <c r="C454" s="447" t="s">
        <v>5868</v>
      </c>
      <c r="D454" s="491">
        <f>'CE MINISTERIALE 2019'!D454</f>
        <v>4000</v>
      </c>
      <c r="E454" s="422"/>
      <c r="G454" s="441"/>
      <c r="H454" s="441"/>
      <c r="J454" s="435"/>
      <c r="L454" s="441"/>
    </row>
    <row r="455" spans="1:29" s="423" customFormat="1" ht="24.95" customHeight="1">
      <c r="A455" s="453"/>
      <c r="B455" s="446" t="s">
        <v>4840</v>
      </c>
      <c r="C455" s="447" t="s">
        <v>5869</v>
      </c>
      <c r="D455" s="491">
        <f>'CE MINISTERIALE 2019'!D455</f>
        <v>1000</v>
      </c>
      <c r="E455" s="422"/>
      <c r="G455" s="441"/>
      <c r="H455" s="441"/>
      <c r="J455" s="435"/>
      <c r="L455" s="441"/>
    </row>
    <row r="456" spans="1:29" s="423" customFormat="1" ht="24.95" customHeight="1">
      <c r="A456" s="453"/>
      <c r="B456" s="446" t="s">
        <v>4842</v>
      </c>
      <c r="C456" s="447" t="s">
        <v>5870</v>
      </c>
      <c r="D456" s="491">
        <f>'CE MINISTERIALE 2019'!D456</f>
        <v>0</v>
      </c>
      <c r="E456" s="422"/>
      <c r="G456" s="441"/>
      <c r="H456" s="441"/>
      <c r="J456" s="435"/>
      <c r="L456" s="441"/>
    </row>
    <row r="457" spans="1:29" s="423" customFormat="1" ht="24.95" customHeight="1">
      <c r="A457" s="453"/>
      <c r="B457" s="446" t="s">
        <v>4844</v>
      </c>
      <c r="C457" s="447" t="s">
        <v>5871</v>
      </c>
      <c r="D457" s="491">
        <f>'CE MINISTERIALE 2019'!D457</f>
        <v>10000</v>
      </c>
      <c r="E457" s="422"/>
      <c r="G457" s="441"/>
      <c r="H457" s="441"/>
      <c r="J457" s="435"/>
      <c r="L457" s="441"/>
    </row>
    <row r="458" spans="1:29" s="423" customFormat="1" ht="24.95" customHeight="1">
      <c r="A458" s="453"/>
      <c r="B458" s="442" t="s">
        <v>120</v>
      </c>
      <c r="C458" s="443" t="s">
        <v>5872</v>
      </c>
      <c r="D458" s="438">
        <f>'CE MINISTERIALE 2019'!D458</f>
        <v>45000</v>
      </c>
      <c r="E458" s="422"/>
      <c r="F458" s="440"/>
      <c r="G458" s="441"/>
      <c r="H458" s="441"/>
      <c r="J458" s="435"/>
      <c r="L458" s="441"/>
      <c r="AC458" s="514"/>
    </row>
    <row r="459" spans="1:29" s="423" customFormat="1" ht="24.95" customHeight="1">
      <c r="A459" s="453"/>
      <c r="B459" s="446" t="s">
        <v>4847</v>
      </c>
      <c r="C459" s="447" t="s">
        <v>5873</v>
      </c>
      <c r="D459" s="491">
        <f>'CE MINISTERIALE 2019'!D459</f>
        <v>1000</v>
      </c>
      <c r="E459" s="422"/>
      <c r="G459" s="441"/>
      <c r="H459" s="441"/>
      <c r="J459" s="435"/>
      <c r="L459" s="441"/>
    </row>
    <row r="460" spans="1:29" s="423" customFormat="1" ht="24.95" customHeight="1">
      <c r="A460" s="453"/>
      <c r="B460" s="446" t="s">
        <v>4849</v>
      </c>
      <c r="C460" s="447" t="s">
        <v>5874</v>
      </c>
      <c r="D460" s="491">
        <f>'CE MINISTERIALE 2019'!D460</f>
        <v>0</v>
      </c>
      <c r="E460" s="422"/>
      <c r="G460" s="441"/>
      <c r="H460" s="441"/>
      <c r="J460" s="435"/>
      <c r="L460" s="441"/>
    </row>
    <row r="461" spans="1:29" s="423" customFormat="1" ht="24.95" customHeight="1">
      <c r="A461" s="453"/>
      <c r="B461" s="446" t="s">
        <v>4851</v>
      </c>
      <c r="C461" s="447" t="s">
        <v>5875</v>
      </c>
      <c r="D461" s="491">
        <f>'CE MINISTERIALE 2019'!D461</f>
        <v>0</v>
      </c>
      <c r="E461" s="422"/>
      <c r="G461" s="441"/>
      <c r="H461" s="441"/>
      <c r="J461" s="435"/>
      <c r="L461" s="441"/>
    </row>
    <row r="462" spans="1:29" s="423" customFormat="1" ht="24.95" customHeight="1">
      <c r="A462" s="453"/>
      <c r="B462" s="446" t="s">
        <v>4853</v>
      </c>
      <c r="C462" s="447" t="s">
        <v>5876</v>
      </c>
      <c r="D462" s="491">
        <f>'CE MINISTERIALE 2019'!D462</f>
        <v>44000</v>
      </c>
      <c r="E462" s="422"/>
      <c r="G462" s="441"/>
      <c r="H462" s="441"/>
      <c r="J462" s="435"/>
      <c r="L462" s="441"/>
    </row>
    <row r="463" spans="1:29" s="423" customFormat="1" ht="24.95" customHeight="1">
      <c r="A463" s="453"/>
      <c r="B463" s="446" t="s">
        <v>4855</v>
      </c>
      <c r="C463" s="447" t="s">
        <v>5877</v>
      </c>
      <c r="D463" s="491">
        <f>'CE MINISTERIALE 2019'!D463</f>
        <v>0</v>
      </c>
      <c r="E463" s="422"/>
      <c r="G463" s="441"/>
      <c r="H463" s="441"/>
      <c r="J463" s="435"/>
      <c r="L463" s="441"/>
    </row>
    <row r="464" spans="1:29" s="423" customFormat="1" ht="24.95" customHeight="1">
      <c r="A464" s="453"/>
      <c r="B464" s="446" t="s">
        <v>4857</v>
      </c>
      <c r="C464" s="447" t="s">
        <v>5878</v>
      </c>
      <c r="D464" s="491">
        <f>'CE MINISTERIALE 2019'!D464</f>
        <v>0</v>
      </c>
      <c r="E464" s="422"/>
      <c r="G464" s="441"/>
      <c r="H464" s="441"/>
      <c r="J464" s="435"/>
      <c r="L464" s="441"/>
    </row>
    <row r="465" spans="1:12" s="423" customFormat="1" ht="24.95" customHeight="1">
      <c r="A465" s="453"/>
      <c r="B465" s="436" t="s">
        <v>121</v>
      </c>
      <c r="C465" s="437" t="s">
        <v>5879</v>
      </c>
      <c r="D465" s="438">
        <f>'CE MINISTERIALE 2019'!D465</f>
        <v>8722000</v>
      </c>
      <c r="E465" s="422"/>
      <c r="F465" s="440"/>
      <c r="G465" s="441"/>
      <c r="H465" s="441"/>
      <c r="J465" s="435"/>
      <c r="L465" s="441"/>
    </row>
    <row r="466" spans="1:12" s="423" customFormat="1" ht="24.95" customHeight="1">
      <c r="A466" s="453"/>
      <c r="B466" s="442" t="s">
        <v>122</v>
      </c>
      <c r="C466" s="443" t="s">
        <v>5880</v>
      </c>
      <c r="D466" s="438">
        <f>'CE MINISTERIALE 2019'!D466</f>
        <v>228000</v>
      </c>
      <c r="E466" s="422"/>
      <c r="F466" s="440"/>
      <c r="G466" s="441"/>
      <c r="H466" s="441"/>
      <c r="J466" s="435"/>
      <c r="L466" s="441"/>
    </row>
    <row r="467" spans="1:12" s="423" customFormat="1" ht="24.95" customHeight="1">
      <c r="A467" s="453"/>
      <c r="B467" s="446" t="s">
        <v>123</v>
      </c>
      <c r="C467" s="447" t="s">
        <v>5881</v>
      </c>
      <c r="D467" s="491">
        <f>'CE MINISTERIALE 2019'!D467</f>
        <v>40000</v>
      </c>
      <c r="E467" s="422"/>
      <c r="G467" s="441"/>
      <c r="H467" s="441"/>
      <c r="J467" s="435"/>
      <c r="L467" s="441"/>
    </row>
    <row r="468" spans="1:12" s="423" customFormat="1" ht="24.95" customHeight="1">
      <c r="A468" s="453"/>
      <c r="B468" s="446" t="s">
        <v>124</v>
      </c>
      <c r="C468" s="447" t="s">
        <v>5882</v>
      </c>
      <c r="D468" s="491">
        <f>'CE MINISTERIALE 2019'!D468</f>
        <v>88000</v>
      </c>
      <c r="E468" s="422"/>
      <c r="G468" s="441"/>
      <c r="H468" s="441"/>
      <c r="J468" s="435"/>
      <c r="L468" s="441"/>
    </row>
    <row r="469" spans="1:12" s="423" customFormat="1" ht="24.95" customHeight="1">
      <c r="A469" s="453"/>
      <c r="B469" s="446" t="s">
        <v>125</v>
      </c>
      <c r="C469" s="447" t="s">
        <v>5883</v>
      </c>
      <c r="D469" s="491">
        <f>'CE MINISTERIALE 2019'!D469</f>
        <v>0</v>
      </c>
      <c r="E469" s="422"/>
      <c r="G469" s="441"/>
      <c r="H469" s="441"/>
      <c r="J469" s="435"/>
      <c r="L469" s="441"/>
    </row>
    <row r="470" spans="1:12" s="423" customFormat="1" ht="24.95" customHeight="1">
      <c r="A470" s="453"/>
      <c r="B470" s="446" t="s">
        <v>126</v>
      </c>
      <c r="C470" s="447" t="s">
        <v>5884</v>
      </c>
      <c r="D470" s="491">
        <f>'CE MINISTERIALE 2019'!D470</f>
        <v>0</v>
      </c>
      <c r="E470" s="422"/>
      <c r="G470" s="441"/>
      <c r="H470" s="441"/>
      <c r="J470" s="435"/>
      <c r="L470" s="441"/>
    </row>
    <row r="471" spans="1:12" s="423" customFormat="1" ht="24.95" customHeight="1">
      <c r="A471" s="453"/>
      <c r="B471" s="446" t="s">
        <v>4865</v>
      </c>
      <c r="C471" s="447" t="s">
        <v>5885</v>
      </c>
      <c r="D471" s="491">
        <f>'CE MINISTERIALE 2019'!D471</f>
        <v>0</v>
      </c>
      <c r="E471" s="422"/>
      <c r="G471" s="441"/>
      <c r="H471" s="441"/>
      <c r="J471" s="435"/>
      <c r="L471" s="441"/>
    </row>
    <row r="472" spans="1:12" s="423" customFormat="1" ht="24.95" customHeight="1">
      <c r="A472" s="453"/>
      <c r="B472" s="446" t="s">
        <v>127</v>
      </c>
      <c r="C472" s="447" t="s">
        <v>5886</v>
      </c>
      <c r="D472" s="491">
        <f>'CE MINISTERIALE 2019'!D472</f>
        <v>100000</v>
      </c>
      <c r="E472" s="422"/>
      <c r="G472" s="441"/>
      <c r="H472" s="441"/>
      <c r="J472" s="435"/>
      <c r="L472" s="441"/>
    </row>
    <row r="473" spans="1:12" s="422" customFormat="1" ht="24.95" customHeight="1">
      <c r="A473" s="453"/>
      <c r="B473" s="446" t="s">
        <v>4868</v>
      </c>
      <c r="C473" s="447" t="s">
        <v>5887</v>
      </c>
      <c r="D473" s="491">
        <f>'CE MINISTERIALE 2019'!D473</f>
        <v>0</v>
      </c>
      <c r="G473" s="441"/>
      <c r="H473" s="441"/>
      <c r="J473" s="435"/>
      <c r="L473" s="441"/>
    </row>
    <row r="474" spans="1:12" s="423" customFormat="1" ht="24.95" customHeight="1">
      <c r="A474" s="453"/>
      <c r="B474" s="442" t="s">
        <v>128</v>
      </c>
      <c r="C474" s="443" t="s">
        <v>5888</v>
      </c>
      <c r="D474" s="491">
        <f>'CE MINISTERIALE 2019'!D474</f>
        <v>50000</v>
      </c>
      <c r="E474" s="422"/>
      <c r="G474" s="441"/>
      <c r="H474" s="441"/>
      <c r="J474" s="435"/>
      <c r="L474" s="441"/>
    </row>
    <row r="475" spans="1:12" s="423" customFormat="1" ht="24.95" customHeight="1">
      <c r="A475" s="453"/>
      <c r="B475" s="442" t="s">
        <v>129</v>
      </c>
      <c r="C475" s="443" t="s">
        <v>5889</v>
      </c>
      <c r="D475" s="438">
        <f>'CE MINISTERIALE 2019'!D475</f>
        <v>0</v>
      </c>
      <c r="E475" s="422"/>
      <c r="F475" s="440"/>
      <c r="G475" s="441"/>
      <c r="H475" s="441"/>
      <c r="J475" s="435"/>
      <c r="L475" s="441"/>
    </row>
    <row r="476" spans="1:12" s="423" customFormat="1" ht="24.95" customHeight="1">
      <c r="A476" s="453"/>
      <c r="B476" s="446" t="s">
        <v>4872</v>
      </c>
      <c r="C476" s="447" t="s">
        <v>5890</v>
      </c>
      <c r="D476" s="491">
        <f>'CE MINISTERIALE 2019'!D476</f>
        <v>0</v>
      </c>
      <c r="E476" s="422"/>
      <c r="G476" s="441"/>
      <c r="H476" s="441"/>
      <c r="J476" s="435"/>
      <c r="L476" s="441"/>
    </row>
    <row r="477" spans="1:12" s="423" customFormat="1" ht="24.95" customHeight="1">
      <c r="A477" s="453"/>
      <c r="B477" s="446" t="s">
        <v>130</v>
      </c>
      <c r="C477" s="447" t="s">
        <v>5891</v>
      </c>
      <c r="D477" s="491">
        <f>'CE MINISTERIALE 2019'!D477</f>
        <v>0</v>
      </c>
      <c r="E477" s="422"/>
      <c r="G477" s="441"/>
      <c r="H477" s="441"/>
      <c r="J477" s="435"/>
      <c r="L477" s="441"/>
    </row>
    <row r="478" spans="1:12" s="423" customFormat="1" ht="24.95" customHeight="1">
      <c r="A478" s="453"/>
      <c r="B478" s="446" t="s">
        <v>801</v>
      </c>
      <c r="C478" s="447" t="s">
        <v>5892</v>
      </c>
      <c r="D478" s="491">
        <f>'CE MINISTERIALE 2019'!D478</f>
        <v>0</v>
      </c>
      <c r="E478" s="422"/>
      <c r="G478" s="441"/>
      <c r="H478" s="441"/>
      <c r="J478" s="435"/>
      <c r="L478" s="441"/>
    </row>
    <row r="479" spans="1:12" s="423" customFormat="1" ht="24.95" customHeight="1">
      <c r="A479" s="453"/>
      <c r="B479" s="446" t="s">
        <v>802</v>
      </c>
      <c r="C479" s="447" t="s">
        <v>5893</v>
      </c>
      <c r="D479" s="491">
        <f>'CE MINISTERIALE 2019'!D479</f>
        <v>0</v>
      </c>
      <c r="E479" s="422"/>
      <c r="G479" s="441"/>
      <c r="H479" s="441"/>
      <c r="J479" s="435"/>
      <c r="L479" s="441"/>
    </row>
    <row r="480" spans="1:12" s="423" customFormat="1" ht="24.95" customHeight="1">
      <c r="A480" s="453"/>
      <c r="B480" s="446" t="s">
        <v>803</v>
      </c>
      <c r="C480" s="447" t="s">
        <v>5894</v>
      </c>
      <c r="D480" s="491">
        <f>'CE MINISTERIALE 2019'!D480</f>
        <v>0</v>
      </c>
      <c r="E480" s="422"/>
      <c r="G480" s="441"/>
      <c r="H480" s="441"/>
      <c r="J480" s="435"/>
      <c r="L480" s="441"/>
    </row>
    <row r="481" spans="1:12" s="422" customFormat="1" ht="24.95" customHeight="1">
      <c r="A481" s="453"/>
      <c r="B481" s="446" t="s">
        <v>4878</v>
      </c>
      <c r="C481" s="447" t="s">
        <v>5895</v>
      </c>
      <c r="D481" s="491">
        <f>'CE MINISTERIALE 2019'!D481</f>
        <v>0</v>
      </c>
      <c r="G481" s="441"/>
      <c r="H481" s="441"/>
      <c r="J481" s="435"/>
      <c r="L481" s="441"/>
    </row>
    <row r="482" spans="1:12" s="423" customFormat="1" ht="24.95" customHeight="1">
      <c r="A482" s="453"/>
      <c r="B482" s="442" t="s">
        <v>804</v>
      </c>
      <c r="C482" s="443" t="s">
        <v>3965</v>
      </c>
      <c r="D482" s="438">
        <f>'CE MINISTERIALE 2019'!D482</f>
        <v>8444000</v>
      </c>
      <c r="E482" s="422"/>
      <c r="F482" s="440"/>
      <c r="G482" s="441"/>
      <c r="H482" s="441"/>
      <c r="J482" s="435"/>
      <c r="L482" s="441"/>
    </row>
    <row r="483" spans="1:12" s="423" customFormat="1" ht="24.95" customHeight="1">
      <c r="A483" s="453"/>
      <c r="B483" s="466" t="s">
        <v>806</v>
      </c>
      <c r="C483" s="467" t="s">
        <v>5896</v>
      </c>
      <c r="D483" s="491">
        <f>'CE MINISTERIALE 2019'!D483</f>
        <v>0</v>
      </c>
      <c r="E483" s="422"/>
      <c r="G483" s="441"/>
      <c r="H483" s="441"/>
      <c r="J483" s="435"/>
      <c r="L483" s="441"/>
    </row>
    <row r="484" spans="1:12" s="423" customFormat="1" ht="24.95" customHeight="1">
      <c r="A484" s="453"/>
      <c r="B484" s="466" t="s">
        <v>807</v>
      </c>
      <c r="C484" s="467" t="s">
        <v>5897</v>
      </c>
      <c r="D484" s="491">
        <f>'CE MINISTERIALE 2019'!D484</f>
        <v>0</v>
      </c>
      <c r="E484" s="422"/>
      <c r="G484" s="441"/>
      <c r="H484" s="441"/>
      <c r="J484" s="435"/>
      <c r="L484" s="441"/>
    </row>
    <row r="485" spans="1:12" s="423" customFormat="1" ht="24.95" customHeight="1">
      <c r="A485" s="453"/>
      <c r="B485" s="466" t="s">
        <v>808</v>
      </c>
      <c r="C485" s="467" t="s">
        <v>5898</v>
      </c>
      <c r="D485" s="491">
        <f>'CE MINISTERIALE 2019'!D485</f>
        <v>0</v>
      </c>
      <c r="E485" s="422"/>
      <c r="G485" s="441"/>
      <c r="H485" s="441"/>
      <c r="J485" s="435"/>
      <c r="L485" s="441"/>
    </row>
    <row r="486" spans="1:12" s="423" customFormat="1" ht="24.95" customHeight="1">
      <c r="A486" s="453"/>
      <c r="B486" s="446" t="s">
        <v>809</v>
      </c>
      <c r="C486" s="447" t="s">
        <v>5899</v>
      </c>
      <c r="D486" s="491">
        <f>'CE MINISTERIALE 2019'!D486</f>
        <v>0</v>
      </c>
      <c r="E486" s="422"/>
      <c r="G486" s="441"/>
      <c r="H486" s="441"/>
      <c r="J486" s="435"/>
      <c r="L486" s="441"/>
    </row>
    <row r="487" spans="1:12" s="423" customFormat="1" ht="24.95" customHeight="1">
      <c r="A487" s="453"/>
      <c r="B487" s="446" t="s">
        <v>810</v>
      </c>
      <c r="C487" s="447" t="s">
        <v>5900</v>
      </c>
      <c r="D487" s="491">
        <f>'CE MINISTERIALE 2019'!D487</f>
        <v>0</v>
      </c>
      <c r="E487" s="422"/>
      <c r="G487" s="441"/>
      <c r="H487" s="441"/>
      <c r="J487" s="435"/>
      <c r="L487" s="441"/>
    </row>
    <row r="488" spans="1:12" s="423" customFormat="1" ht="24.95" customHeight="1">
      <c r="A488" s="453"/>
      <c r="B488" s="446" t="s">
        <v>4886</v>
      </c>
      <c r="C488" s="447" t="s">
        <v>5901</v>
      </c>
      <c r="D488" s="491">
        <f>'CE MINISTERIALE 2019'!D488</f>
        <v>8240000</v>
      </c>
      <c r="E488" s="422"/>
      <c r="G488" s="441"/>
      <c r="H488" s="441"/>
      <c r="J488" s="435"/>
      <c r="L488" s="441"/>
    </row>
    <row r="489" spans="1:12" s="423" customFormat="1" ht="24.95" customHeight="1">
      <c r="A489" s="453"/>
      <c r="B489" s="446" t="s">
        <v>4888</v>
      </c>
      <c r="C489" s="447" t="s">
        <v>5902</v>
      </c>
      <c r="D489" s="491">
        <f>'CE MINISTERIALE 2019'!D489</f>
        <v>0</v>
      </c>
      <c r="E489" s="422"/>
      <c r="G489" s="441"/>
      <c r="H489" s="441"/>
      <c r="J489" s="435"/>
      <c r="L489" s="441"/>
    </row>
    <row r="490" spans="1:12" s="423" customFormat="1" ht="24.95" customHeight="1">
      <c r="A490" s="453"/>
      <c r="B490" s="446" t="s">
        <v>4890</v>
      </c>
      <c r="C490" s="447" t="s">
        <v>5903</v>
      </c>
      <c r="D490" s="491">
        <f>'CE MINISTERIALE 2019'!D490</f>
        <v>0</v>
      </c>
      <c r="E490" s="422"/>
      <c r="G490" s="441"/>
      <c r="H490" s="441"/>
      <c r="J490" s="435"/>
      <c r="L490" s="441"/>
    </row>
    <row r="491" spans="1:12" s="423" customFormat="1" ht="24.95" customHeight="1">
      <c r="A491" s="453"/>
      <c r="B491" s="446" t="s">
        <v>4892</v>
      </c>
      <c r="C491" s="447" t="s">
        <v>5904</v>
      </c>
      <c r="D491" s="491">
        <f>'CE MINISTERIALE 2019'!D491</f>
        <v>0</v>
      </c>
      <c r="E491" s="422"/>
      <c r="G491" s="441"/>
      <c r="H491" s="441"/>
      <c r="J491" s="435"/>
      <c r="L491" s="441"/>
    </row>
    <row r="492" spans="1:12" s="423" customFormat="1" ht="24.95" customHeight="1">
      <c r="A492" s="453"/>
      <c r="B492" s="466" t="s">
        <v>811</v>
      </c>
      <c r="C492" s="468" t="s">
        <v>5905</v>
      </c>
      <c r="D492" s="491">
        <f>'CE MINISTERIALE 2019'!D492</f>
        <v>204000</v>
      </c>
      <c r="E492" s="422"/>
      <c r="G492" s="441"/>
      <c r="H492" s="441"/>
      <c r="J492" s="435"/>
      <c r="L492" s="441"/>
    </row>
    <row r="493" spans="1:12" s="448" customFormat="1" ht="24.95" customHeight="1">
      <c r="A493" s="456"/>
      <c r="B493" s="436" t="s">
        <v>812</v>
      </c>
      <c r="C493" s="437" t="s">
        <v>3966</v>
      </c>
      <c r="D493" s="438">
        <f>'CE MINISTERIALE 2019'!D493</f>
        <v>1349938042.5699999</v>
      </c>
      <c r="E493" s="422"/>
      <c r="F493" s="440"/>
      <c r="G493" s="441"/>
      <c r="H493" s="441"/>
      <c r="J493" s="435"/>
      <c r="L493" s="441"/>
    </row>
    <row r="494" spans="1:12" s="448" customFormat="1" ht="24.95" customHeight="1">
      <c r="A494" s="456"/>
      <c r="B494" s="449"/>
      <c r="C494" s="437" t="s">
        <v>3967</v>
      </c>
      <c r="D494" s="438">
        <f>'CE MINISTERIALE 2019'!D494</f>
        <v>0</v>
      </c>
      <c r="E494" s="422"/>
      <c r="F494" s="423"/>
      <c r="G494" s="441"/>
      <c r="H494" s="441"/>
      <c r="J494" s="435"/>
      <c r="L494" s="441"/>
    </row>
    <row r="495" spans="1:12" s="448" customFormat="1" ht="24.95" customHeight="1">
      <c r="A495" s="456"/>
      <c r="B495" s="436" t="s">
        <v>815</v>
      </c>
      <c r="C495" s="437" t="s">
        <v>3968</v>
      </c>
      <c r="D495" s="438">
        <f>'CE MINISTERIALE 2019'!D495</f>
        <v>15000</v>
      </c>
      <c r="E495" s="422"/>
      <c r="F495" s="440"/>
      <c r="G495" s="441"/>
      <c r="H495" s="441"/>
      <c r="J495" s="435"/>
      <c r="L495" s="441"/>
    </row>
    <row r="496" spans="1:12" s="448" customFormat="1" ht="24.95" customHeight="1">
      <c r="A496" s="456"/>
      <c r="B496" s="442" t="s">
        <v>817</v>
      </c>
      <c r="C496" s="443" t="s">
        <v>3969</v>
      </c>
      <c r="D496" s="491">
        <f>'CE MINISTERIALE 2019'!D496</f>
        <v>0</v>
      </c>
      <c r="E496" s="422"/>
      <c r="F496" s="423"/>
      <c r="G496" s="441"/>
      <c r="H496" s="441"/>
      <c r="J496" s="435"/>
      <c r="L496" s="441"/>
    </row>
    <row r="497" spans="1:12" s="448" customFormat="1" ht="24.95" customHeight="1">
      <c r="A497" s="456"/>
      <c r="B497" s="442" t="s">
        <v>819</v>
      </c>
      <c r="C497" s="443" t="s">
        <v>3970</v>
      </c>
      <c r="D497" s="491">
        <f>'CE MINISTERIALE 2019'!D497</f>
        <v>0</v>
      </c>
      <c r="E497" s="422"/>
      <c r="F497" s="423"/>
      <c r="G497" s="441"/>
      <c r="H497" s="441"/>
      <c r="J497" s="435"/>
      <c r="L497" s="441"/>
    </row>
    <row r="498" spans="1:12" s="448" customFormat="1" ht="24.95" customHeight="1">
      <c r="A498" s="456"/>
      <c r="B498" s="442" t="s">
        <v>821</v>
      </c>
      <c r="C498" s="443" t="s">
        <v>3971</v>
      </c>
      <c r="D498" s="491">
        <f>'CE MINISTERIALE 2019'!D498</f>
        <v>15000</v>
      </c>
      <c r="E498" s="422"/>
      <c r="F498" s="423"/>
      <c r="G498" s="441"/>
      <c r="H498" s="441"/>
      <c r="J498" s="435"/>
      <c r="L498" s="441"/>
    </row>
    <row r="499" spans="1:12" s="448" customFormat="1" ht="24.95" customHeight="1">
      <c r="A499" s="456"/>
      <c r="B499" s="436" t="s">
        <v>823</v>
      </c>
      <c r="C499" s="437" t="s">
        <v>3972</v>
      </c>
      <c r="D499" s="438">
        <f>'CE MINISTERIALE 2019'!D499</f>
        <v>0</v>
      </c>
      <c r="E499" s="422"/>
      <c r="F499" s="440"/>
      <c r="G499" s="441"/>
      <c r="H499" s="441"/>
      <c r="J499" s="435"/>
      <c r="L499" s="441"/>
    </row>
    <row r="500" spans="1:12" s="448" customFormat="1" ht="24.95" customHeight="1">
      <c r="A500" s="456"/>
      <c r="B500" s="442" t="s">
        <v>825</v>
      </c>
      <c r="C500" s="443" t="s">
        <v>3973</v>
      </c>
      <c r="D500" s="491">
        <f>'CE MINISTERIALE 2019'!D500</f>
        <v>0</v>
      </c>
      <c r="E500" s="422"/>
      <c r="F500" s="423"/>
      <c r="G500" s="441"/>
      <c r="H500" s="441"/>
      <c r="J500" s="435"/>
      <c r="L500" s="441"/>
    </row>
    <row r="501" spans="1:12" s="448" customFormat="1" ht="24.95" customHeight="1">
      <c r="A501" s="456"/>
      <c r="B501" s="442" t="s">
        <v>827</v>
      </c>
      <c r="C501" s="443" t="s">
        <v>3974</v>
      </c>
      <c r="D501" s="491">
        <f>'CE MINISTERIALE 2019'!D501</f>
        <v>0</v>
      </c>
      <c r="E501" s="422"/>
      <c r="F501" s="423"/>
      <c r="G501" s="441"/>
      <c r="H501" s="441"/>
      <c r="J501" s="435"/>
      <c r="L501" s="441"/>
    </row>
    <row r="502" spans="1:12" s="448" customFormat="1" ht="24.95" customHeight="1">
      <c r="A502" s="456"/>
      <c r="B502" s="442" t="s">
        <v>829</v>
      </c>
      <c r="C502" s="443" t="s">
        <v>3975</v>
      </c>
      <c r="D502" s="491">
        <f>'CE MINISTERIALE 2019'!D502</f>
        <v>0</v>
      </c>
      <c r="E502" s="422"/>
      <c r="F502" s="423"/>
      <c r="G502" s="441"/>
      <c r="H502" s="441"/>
      <c r="J502" s="435"/>
      <c r="L502" s="441"/>
    </row>
    <row r="503" spans="1:12" s="448" customFormat="1" ht="24.95" customHeight="1">
      <c r="A503" s="456"/>
      <c r="B503" s="442" t="s">
        <v>831</v>
      </c>
      <c r="C503" s="443" t="s">
        <v>5906</v>
      </c>
      <c r="D503" s="491">
        <f>'CE MINISTERIALE 2019'!D503</f>
        <v>0</v>
      </c>
      <c r="E503" s="422"/>
      <c r="F503" s="423"/>
      <c r="G503" s="441"/>
      <c r="H503" s="441"/>
      <c r="J503" s="435"/>
      <c r="L503" s="441"/>
    </row>
    <row r="504" spans="1:12" s="448" customFormat="1" ht="24.95" customHeight="1">
      <c r="A504" s="456"/>
      <c r="B504" s="442" t="s">
        <v>833</v>
      </c>
      <c r="C504" s="443" t="s">
        <v>5907</v>
      </c>
      <c r="D504" s="491">
        <f>'CE MINISTERIALE 2019'!D504</f>
        <v>0</v>
      </c>
      <c r="E504" s="422"/>
      <c r="F504" s="423"/>
      <c r="G504" s="441"/>
      <c r="H504" s="441"/>
      <c r="J504" s="435"/>
      <c r="L504" s="441"/>
    </row>
    <row r="505" spans="1:12" s="448" customFormat="1" ht="24.95" customHeight="1">
      <c r="A505" s="456"/>
      <c r="B505" s="436" t="s">
        <v>835</v>
      </c>
      <c r="C505" s="437" t="s">
        <v>3976</v>
      </c>
      <c r="D505" s="438">
        <f>'CE MINISTERIALE 2019'!D505</f>
        <v>20000</v>
      </c>
      <c r="E505" s="422"/>
      <c r="F505" s="440"/>
      <c r="G505" s="441"/>
      <c r="H505" s="441"/>
      <c r="J505" s="435"/>
      <c r="L505" s="441"/>
    </row>
    <row r="506" spans="1:12" s="448" customFormat="1" ht="24.95" customHeight="1">
      <c r="A506" s="456"/>
      <c r="B506" s="442" t="s">
        <v>837</v>
      </c>
      <c r="C506" s="443" t="s">
        <v>5908</v>
      </c>
      <c r="D506" s="491">
        <f>'CE MINISTERIALE 2019'!D506</f>
        <v>10000</v>
      </c>
      <c r="E506" s="422"/>
      <c r="F506" s="423"/>
      <c r="G506" s="441"/>
      <c r="H506" s="441"/>
      <c r="J506" s="435"/>
      <c r="L506" s="441"/>
    </row>
    <row r="507" spans="1:12" s="448" customFormat="1" ht="24.95" customHeight="1">
      <c r="A507" s="456"/>
      <c r="B507" s="442" t="s">
        <v>839</v>
      </c>
      <c r="C507" s="443" t="s">
        <v>3977</v>
      </c>
      <c r="D507" s="491">
        <f>'CE MINISTERIALE 2019'!D507</f>
        <v>0</v>
      </c>
      <c r="E507" s="422"/>
      <c r="F507" s="423"/>
      <c r="G507" s="441"/>
      <c r="H507" s="441"/>
      <c r="J507" s="435"/>
      <c r="L507" s="441"/>
    </row>
    <row r="508" spans="1:12" s="448" customFormat="1" ht="24.95" customHeight="1">
      <c r="A508" s="456"/>
      <c r="B508" s="442" t="s">
        <v>841</v>
      </c>
      <c r="C508" s="443" t="s">
        <v>3978</v>
      </c>
      <c r="D508" s="491">
        <f>'CE MINISTERIALE 2019'!D508</f>
        <v>10000</v>
      </c>
      <c r="E508" s="422"/>
      <c r="F508" s="423"/>
      <c r="G508" s="441"/>
      <c r="H508" s="441"/>
      <c r="J508" s="435"/>
      <c r="L508" s="441"/>
    </row>
    <row r="509" spans="1:12" s="448" customFormat="1" ht="24.95" customHeight="1">
      <c r="A509" s="678"/>
      <c r="B509" s="436" t="s">
        <v>843</v>
      </c>
      <c r="C509" s="437" t="s">
        <v>3979</v>
      </c>
      <c r="D509" s="438">
        <f>'CE MINISTERIALE 2019'!D509</f>
        <v>1000</v>
      </c>
      <c r="E509" s="422"/>
      <c r="F509" s="440"/>
      <c r="G509" s="441"/>
      <c r="H509" s="441"/>
      <c r="J509" s="435"/>
      <c r="L509" s="441"/>
    </row>
    <row r="510" spans="1:12" s="448" customFormat="1" ht="24.95" customHeight="1">
      <c r="A510" s="678"/>
      <c r="B510" s="442" t="s">
        <v>845</v>
      </c>
      <c r="C510" s="443" t="s">
        <v>3980</v>
      </c>
      <c r="D510" s="491">
        <f>'CE MINISTERIALE 2019'!D510</f>
        <v>1000</v>
      </c>
      <c r="E510" s="422"/>
      <c r="F510" s="423"/>
      <c r="G510" s="441"/>
      <c r="H510" s="441"/>
      <c r="J510" s="435"/>
      <c r="L510" s="441"/>
    </row>
    <row r="511" spans="1:12" s="448" customFormat="1" ht="24.95" customHeight="1">
      <c r="A511" s="456"/>
      <c r="B511" s="442" t="s">
        <v>847</v>
      </c>
      <c r="C511" s="443" t="s">
        <v>5909</v>
      </c>
      <c r="D511" s="491">
        <f>'CE MINISTERIALE 2019'!D511</f>
        <v>0</v>
      </c>
      <c r="E511" s="422"/>
      <c r="F511" s="423"/>
      <c r="G511" s="441"/>
      <c r="H511" s="441"/>
      <c r="J511" s="435"/>
      <c r="L511" s="441"/>
    </row>
    <row r="512" spans="1:12" s="448" customFormat="1" ht="24.95" customHeight="1">
      <c r="A512" s="678"/>
      <c r="B512" s="436" t="s">
        <v>849</v>
      </c>
      <c r="C512" s="437" t="s">
        <v>3981</v>
      </c>
      <c r="D512" s="438">
        <f>'CE MINISTERIALE 2019'!D512</f>
        <v>-6000</v>
      </c>
      <c r="E512" s="422"/>
      <c r="F512" s="440"/>
      <c r="G512" s="441"/>
      <c r="H512" s="441"/>
      <c r="J512" s="435"/>
      <c r="L512" s="441"/>
    </row>
    <row r="513" spans="1:12" s="448" customFormat="1" ht="24.95" customHeight="1">
      <c r="A513" s="456"/>
      <c r="B513" s="449"/>
      <c r="C513" s="437" t="s">
        <v>3982</v>
      </c>
      <c r="D513" s="491">
        <f>'CE MINISTERIALE 2019'!D513</f>
        <v>0</v>
      </c>
      <c r="E513" s="422"/>
      <c r="F513" s="423"/>
      <c r="G513" s="441"/>
      <c r="H513" s="441"/>
      <c r="J513" s="435"/>
      <c r="L513" s="441"/>
    </row>
    <row r="514" spans="1:12" s="448" customFormat="1" ht="24.95" customHeight="1">
      <c r="A514" s="456"/>
      <c r="B514" s="436" t="s">
        <v>852</v>
      </c>
      <c r="C514" s="437" t="s">
        <v>3983</v>
      </c>
      <c r="D514" s="491">
        <f>'CE MINISTERIALE 2019'!D514</f>
        <v>0</v>
      </c>
      <c r="E514" s="422"/>
      <c r="F514" s="423"/>
      <c r="G514" s="441"/>
      <c r="H514" s="441"/>
      <c r="J514" s="435"/>
      <c r="L514" s="441"/>
    </row>
    <row r="515" spans="1:12" s="448" customFormat="1" ht="24.95" customHeight="1">
      <c r="A515" s="456"/>
      <c r="B515" s="436" t="s">
        <v>854</v>
      </c>
      <c r="C515" s="437" t="s">
        <v>3984</v>
      </c>
      <c r="D515" s="491">
        <f>'CE MINISTERIALE 2019'!D515</f>
        <v>0</v>
      </c>
      <c r="E515" s="422"/>
      <c r="F515" s="423"/>
      <c r="G515" s="441"/>
      <c r="H515" s="441"/>
      <c r="J515" s="435"/>
      <c r="L515" s="441"/>
    </row>
    <row r="516" spans="1:12" s="448" customFormat="1" ht="24.95" customHeight="1">
      <c r="A516" s="456"/>
      <c r="B516" s="436" t="s">
        <v>856</v>
      </c>
      <c r="C516" s="437" t="s">
        <v>3985</v>
      </c>
      <c r="D516" s="438">
        <f>'CE MINISTERIALE 2019'!D516</f>
        <v>0</v>
      </c>
      <c r="E516" s="422"/>
      <c r="F516" s="440"/>
      <c r="G516" s="441"/>
      <c r="H516" s="441"/>
      <c r="J516" s="435"/>
      <c r="L516" s="441"/>
    </row>
    <row r="517" spans="1:12" s="448" customFormat="1" ht="24.95" customHeight="1">
      <c r="A517" s="456"/>
      <c r="B517" s="449"/>
      <c r="C517" s="437" t="s">
        <v>5910</v>
      </c>
      <c r="D517" s="491">
        <f>'CE MINISTERIALE 2019'!D517</f>
        <v>0</v>
      </c>
      <c r="E517" s="422"/>
      <c r="F517" s="423"/>
      <c r="G517" s="441"/>
      <c r="H517" s="441"/>
      <c r="J517" s="435"/>
      <c r="L517" s="441"/>
    </row>
    <row r="518" spans="1:12" s="448" customFormat="1" ht="24.95" customHeight="1">
      <c r="A518" s="456"/>
      <c r="B518" s="436" t="s">
        <v>859</v>
      </c>
      <c r="C518" s="437" t="s">
        <v>3986</v>
      </c>
      <c r="D518" s="438">
        <f>'CE MINISTERIALE 2019'!D518</f>
        <v>5010000</v>
      </c>
      <c r="E518" s="422"/>
      <c r="F518" s="440"/>
      <c r="G518" s="441"/>
      <c r="H518" s="441"/>
      <c r="J518" s="435"/>
      <c r="L518" s="441"/>
    </row>
    <row r="519" spans="1:12" s="448" customFormat="1" ht="24.95" customHeight="1">
      <c r="A519" s="456"/>
      <c r="B519" s="442" t="s">
        <v>861</v>
      </c>
      <c r="C519" s="443" t="s">
        <v>3987</v>
      </c>
      <c r="D519" s="491">
        <f>'CE MINISTERIALE 2019'!D519</f>
        <v>0</v>
      </c>
      <c r="E519" s="422"/>
      <c r="F519" s="423"/>
      <c r="G519" s="441"/>
      <c r="H519" s="441"/>
      <c r="J519" s="435"/>
      <c r="L519" s="441"/>
    </row>
    <row r="520" spans="1:12" s="448" customFormat="1" ht="24.95" customHeight="1">
      <c r="A520" s="456"/>
      <c r="B520" s="442" t="s">
        <v>863</v>
      </c>
      <c r="C520" s="443" t="s">
        <v>3988</v>
      </c>
      <c r="D520" s="438">
        <f>'CE MINISTERIALE 2019'!D520</f>
        <v>5010000</v>
      </c>
      <c r="E520" s="422"/>
      <c r="F520" s="440"/>
      <c r="G520" s="441"/>
      <c r="H520" s="441"/>
      <c r="J520" s="435"/>
      <c r="L520" s="441"/>
    </row>
    <row r="521" spans="1:12" s="448" customFormat="1" ht="24.95" customHeight="1">
      <c r="A521" s="456"/>
      <c r="B521" s="446" t="s">
        <v>865</v>
      </c>
      <c r="C521" s="447" t="s">
        <v>3989</v>
      </c>
      <c r="D521" s="491">
        <f>'CE MINISTERIALE 2019'!D521</f>
        <v>10000</v>
      </c>
      <c r="E521" s="422"/>
      <c r="F521" s="423"/>
      <c r="G521" s="441"/>
      <c r="H521" s="441"/>
      <c r="J521" s="435"/>
      <c r="L521" s="441"/>
    </row>
    <row r="522" spans="1:12" s="448" customFormat="1" ht="24.95" customHeight="1">
      <c r="A522" s="456"/>
      <c r="B522" s="446" t="s">
        <v>867</v>
      </c>
      <c r="C522" s="447" t="s">
        <v>3990</v>
      </c>
      <c r="D522" s="438">
        <f>'CE MINISTERIALE 2019'!D522</f>
        <v>5000000</v>
      </c>
      <c r="E522" s="422"/>
      <c r="F522" s="440"/>
      <c r="G522" s="441"/>
      <c r="H522" s="441"/>
      <c r="J522" s="435"/>
      <c r="L522" s="441"/>
    </row>
    <row r="523" spans="1:12" s="423" customFormat="1" ht="24.95" customHeight="1">
      <c r="A523" s="453"/>
      <c r="B523" s="446" t="s">
        <v>4895</v>
      </c>
      <c r="C523" s="447" t="s">
        <v>5911</v>
      </c>
      <c r="D523" s="491">
        <f>'CE MINISTERIALE 2019'!D523</f>
        <v>0</v>
      </c>
      <c r="E523" s="422"/>
      <c r="G523" s="441"/>
      <c r="H523" s="441"/>
      <c r="J523" s="435"/>
      <c r="L523" s="441"/>
    </row>
    <row r="524" spans="1:12" s="423" customFormat="1" ht="24.95" customHeight="1">
      <c r="A524" s="453" t="s">
        <v>312</v>
      </c>
      <c r="B524" s="446" t="s">
        <v>869</v>
      </c>
      <c r="C524" s="447" t="s">
        <v>5912</v>
      </c>
      <c r="D524" s="491">
        <f>'CE MINISTERIALE 2019'!D524</f>
        <v>0</v>
      </c>
      <c r="E524" s="422"/>
      <c r="G524" s="441"/>
      <c r="H524" s="441"/>
      <c r="J524" s="435"/>
      <c r="L524" s="441"/>
    </row>
    <row r="525" spans="1:12" s="423" customFormat="1" ht="24.95" customHeight="1">
      <c r="A525" s="453"/>
      <c r="B525" s="446" t="s">
        <v>870</v>
      </c>
      <c r="C525" s="447" t="s">
        <v>5913</v>
      </c>
      <c r="D525" s="438">
        <f>'CE MINISTERIALE 2019'!D525</f>
        <v>5000000</v>
      </c>
      <c r="E525" s="422"/>
      <c r="F525" s="440"/>
      <c r="G525" s="441"/>
      <c r="H525" s="441"/>
      <c r="J525" s="435"/>
      <c r="L525" s="441"/>
    </row>
    <row r="526" spans="1:12" s="423" customFormat="1" ht="24.95" customHeight="1">
      <c r="A526" s="453" t="s">
        <v>1589</v>
      </c>
      <c r="B526" s="449" t="s">
        <v>1630</v>
      </c>
      <c r="C526" s="450" t="s">
        <v>5914</v>
      </c>
      <c r="D526" s="491">
        <f>'CE MINISTERIALE 2019'!D526</f>
        <v>0</v>
      </c>
      <c r="E526" s="422"/>
      <c r="G526" s="441"/>
      <c r="H526" s="441"/>
      <c r="J526" s="435"/>
      <c r="L526" s="441"/>
    </row>
    <row r="527" spans="1:12" s="423" customFormat="1" ht="24.95" customHeight="1">
      <c r="A527" s="453"/>
      <c r="B527" s="449" t="s">
        <v>1631</v>
      </c>
      <c r="C527" s="450" t="s">
        <v>5915</v>
      </c>
      <c r="D527" s="491">
        <f>'CE MINISTERIALE 2019'!D527</f>
        <v>5000000</v>
      </c>
      <c r="E527" s="422"/>
      <c r="G527" s="441"/>
      <c r="H527" s="441"/>
      <c r="J527" s="435"/>
      <c r="L527" s="441"/>
    </row>
    <row r="528" spans="1:12" s="423" customFormat="1" ht="24.95" customHeight="1">
      <c r="A528" s="453"/>
      <c r="B528" s="449" t="s">
        <v>1632</v>
      </c>
      <c r="C528" s="450" t="s">
        <v>5916</v>
      </c>
      <c r="D528" s="491">
        <f>'CE MINISTERIALE 2019'!D528</f>
        <v>0</v>
      </c>
      <c r="E528" s="422"/>
      <c r="G528" s="441"/>
      <c r="H528" s="441"/>
      <c r="J528" s="435"/>
      <c r="L528" s="441"/>
    </row>
    <row r="529" spans="1:12" s="423" customFormat="1" ht="24.95" customHeight="1">
      <c r="A529" s="453"/>
      <c r="B529" s="449" t="s">
        <v>1633</v>
      </c>
      <c r="C529" s="450" t="s">
        <v>5917</v>
      </c>
      <c r="D529" s="491">
        <f>'CE MINISTERIALE 2019'!D529</f>
        <v>0</v>
      </c>
      <c r="E529" s="422"/>
      <c r="G529" s="441"/>
      <c r="H529" s="441"/>
      <c r="J529" s="435"/>
      <c r="L529" s="441"/>
    </row>
    <row r="530" spans="1:12" s="423" customFormat="1" ht="24.95" customHeight="1">
      <c r="A530" s="453"/>
      <c r="B530" s="449" t="s">
        <v>1634</v>
      </c>
      <c r="C530" s="450" t="s">
        <v>5918</v>
      </c>
      <c r="D530" s="491">
        <f>'CE MINISTERIALE 2019'!D530</f>
        <v>0</v>
      </c>
      <c r="E530" s="422"/>
      <c r="G530" s="441"/>
      <c r="H530" s="441"/>
      <c r="J530" s="435"/>
      <c r="L530" s="441"/>
    </row>
    <row r="531" spans="1:12" s="423" customFormat="1" ht="24.95" customHeight="1">
      <c r="A531" s="453"/>
      <c r="B531" s="449" t="s">
        <v>1635</v>
      </c>
      <c r="C531" s="450" t="s">
        <v>5919</v>
      </c>
      <c r="D531" s="491">
        <f>'CE MINISTERIALE 2019'!D531</f>
        <v>0</v>
      </c>
      <c r="E531" s="422"/>
      <c r="G531" s="441"/>
      <c r="H531" s="441"/>
      <c r="J531" s="435"/>
      <c r="L531" s="441"/>
    </row>
    <row r="532" spans="1:12" s="423" customFormat="1" ht="24.95" customHeight="1">
      <c r="A532" s="453"/>
      <c r="B532" s="449" t="s">
        <v>1636</v>
      </c>
      <c r="C532" s="450" t="s">
        <v>5920</v>
      </c>
      <c r="D532" s="491">
        <f>'CE MINISTERIALE 2019'!D532</f>
        <v>0</v>
      </c>
      <c r="E532" s="422"/>
      <c r="G532" s="441"/>
      <c r="H532" s="441"/>
      <c r="J532" s="435"/>
      <c r="L532" s="441"/>
    </row>
    <row r="533" spans="1:12" s="423" customFormat="1" ht="24.95" customHeight="1">
      <c r="A533" s="453"/>
      <c r="B533" s="446" t="s">
        <v>1637</v>
      </c>
      <c r="C533" s="447" t="s">
        <v>5921</v>
      </c>
      <c r="D533" s="438">
        <f>'CE MINISTERIALE 2019'!D533</f>
        <v>0</v>
      </c>
      <c r="E533" s="422"/>
      <c r="F533" s="440"/>
      <c r="G533" s="441"/>
      <c r="H533" s="441"/>
      <c r="J533" s="435"/>
      <c r="L533" s="441"/>
    </row>
    <row r="534" spans="1:12" s="448" customFormat="1" ht="24.95" customHeight="1">
      <c r="A534" s="456" t="s">
        <v>312</v>
      </c>
      <c r="B534" s="446" t="s">
        <v>1639</v>
      </c>
      <c r="C534" s="447" t="s">
        <v>5922</v>
      </c>
      <c r="D534" s="491">
        <f>'CE MINISTERIALE 2019'!D534</f>
        <v>0</v>
      </c>
      <c r="E534" s="422"/>
      <c r="F534" s="423"/>
      <c r="G534" s="441"/>
      <c r="H534" s="441"/>
      <c r="J534" s="435"/>
      <c r="L534" s="441"/>
    </row>
    <row r="535" spans="1:12" s="448" customFormat="1" ht="24.95" customHeight="1">
      <c r="A535" s="456"/>
      <c r="B535" s="446" t="s">
        <v>1641</v>
      </c>
      <c r="C535" s="447" t="s">
        <v>5923</v>
      </c>
      <c r="D535" s="438">
        <f>'CE MINISTERIALE 2019'!D535</f>
        <v>0</v>
      </c>
      <c r="E535" s="422"/>
      <c r="F535" s="440"/>
      <c r="G535" s="441"/>
      <c r="H535" s="441"/>
      <c r="J535" s="435"/>
      <c r="L535" s="441"/>
    </row>
    <row r="536" spans="1:12" s="448" customFormat="1" ht="24.95" customHeight="1">
      <c r="A536" s="456" t="s">
        <v>1589</v>
      </c>
      <c r="B536" s="449" t="s">
        <v>1643</v>
      </c>
      <c r="C536" s="450" t="s">
        <v>5924</v>
      </c>
      <c r="D536" s="491">
        <f>'CE MINISTERIALE 2019'!D536</f>
        <v>0</v>
      </c>
      <c r="E536" s="422"/>
      <c r="F536" s="423"/>
      <c r="G536" s="441"/>
      <c r="H536" s="441"/>
      <c r="J536" s="435"/>
      <c r="L536" s="441"/>
    </row>
    <row r="537" spans="1:12" s="448" customFormat="1" ht="24.95" customHeight="1">
      <c r="A537" s="456"/>
      <c r="B537" s="449" t="s">
        <v>1645</v>
      </c>
      <c r="C537" s="450" t="s">
        <v>5925</v>
      </c>
      <c r="D537" s="491">
        <f>'CE MINISTERIALE 2019'!D537</f>
        <v>0</v>
      </c>
      <c r="E537" s="422"/>
      <c r="F537" s="423"/>
      <c r="G537" s="441"/>
      <c r="H537" s="441"/>
      <c r="J537" s="435"/>
      <c r="L537" s="441"/>
    </row>
    <row r="538" spans="1:12" s="448" customFormat="1" ht="24.95" customHeight="1">
      <c r="A538" s="456"/>
      <c r="B538" s="449" t="s">
        <v>413</v>
      </c>
      <c r="C538" s="450" t="s">
        <v>5926</v>
      </c>
      <c r="D538" s="491">
        <f>'CE MINISTERIALE 2019'!D538</f>
        <v>0</v>
      </c>
      <c r="E538" s="422"/>
      <c r="F538" s="423"/>
      <c r="G538" s="441"/>
      <c r="H538" s="441"/>
      <c r="J538" s="435"/>
      <c r="L538" s="441"/>
    </row>
    <row r="539" spans="1:12" s="448" customFormat="1" ht="24.95" customHeight="1">
      <c r="A539" s="456"/>
      <c r="B539" s="449" t="s">
        <v>415</v>
      </c>
      <c r="C539" s="450" t="s">
        <v>5927</v>
      </c>
      <c r="D539" s="491">
        <f>'CE MINISTERIALE 2019'!D539</f>
        <v>0</v>
      </c>
      <c r="E539" s="422"/>
      <c r="F539" s="423"/>
      <c r="G539" s="441"/>
      <c r="H539" s="441"/>
      <c r="J539" s="435"/>
      <c r="L539" s="441"/>
    </row>
    <row r="540" spans="1:12" s="448" customFormat="1" ht="24.95" customHeight="1">
      <c r="A540" s="456"/>
      <c r="B540" s="449" t="s">
        <v>417</v>
      </c>
      <c r="C540" s="450" t="s">
        <v>5928</v>
      </c>
      <c r="D540" s="491">
        <f>'CE MINISTERIALE 2019'!D540</f>
        <v>0</v>
      </c>
      <c r="E540" s="422"/>
      <c r="F540" s="423"/>
      <c r="G540" s="441"/>
      <c r="H540" s="441"/>
      <c r="J540" s="435"/>
      <c r="L540" s="441"/>
    </row>
    <row r="541" spans="1:12" s="448" customFormat="1" ht="24.95" customHeight="1">
      <c r="A541" s="456"/>
      <c r="B541" s="449" t="s">
        <v>419</v>
      </c>
      <c r="C541" s="450" t="s">
        <v>5929</v>
      </c>
      <c r="D541" s="491">
        <f>'CE MINISTERIALE 2019'!D541</f>
        <v>0</v>
      </c>
      <c r="E541" s="422"/>
      <c r="F541" s="423"/>
      <c r="G541" s="441"/>
      <c r="H541" s="441"/>
      <c r="J541" s="435"/>
      <c r="L541" s="441"/>
    </row>
    <row r="542" spans="1:12" s="448" customFormat="1" ht="24.95" customHeight="1">
      <c r="A542" s="456"/>
      <c r="B542" s="449" t="s">
        <v>421</v>
      </c>
      <c r="C542" s="450" t="s">
        <v>5930</v>
      </c>
      <c r="D542" s="491">
        <f>'CE MINISTERIALE 2019'!D542</f>
        <v>0</v>
      </c>
      <c r="E542" s="422"/>
      <c r="F542" s="423"/>
      <c r="G542" s="441"/>
      <c r="H542" s="441"/>
      <c r="J542" s="435"/>
      <c r="L542" s="441"/>
    </row>
    <row r="543" spans="1:12" s="448" customFormat="1" ht="24.95" customHeight="1">
      <c r="A543" s="456"/>
      <c r="B543" s="446" t="s">
        <v>423</v>
      </c>
      <c r="C543" s="447" t="s">
        <v>3991</v>
      </c>
      <c r="D543" s="491">
        <f>'CE MINISTERIALE 2019'!D543</f>
        <v>0</v>
      </c>
      <c r="E543" s="422"/>
      <c r="F543" s="423"/>
      <c r="G543" s="441"/>
      <c r="H543" s="441"/>
      <c r="J543" s="435"/>
      <c r="L543" s="441"/>
    </row>
    <row r="544" spans="1:12" s="448" customFormat="1" ht="24.95" customHeight="1">
      <c r="A544" s="456"/>
      <c r="B544" s="436" t="s">
        <v>425</v>
      </c>
      <c r="C544" s="437" t="s">
        <v>3992</v>
      </c>
      <c r="D544" s="438">
        <f>'CE MINISTERIALE 2019'!D544</f>
        <v>152500</v>
      </c>
      <c r="E544" s="422"/>
      <c r="F544" s="440"/>
      <c r="G544" s="441"/>
      <c r="H544" s="441"/>
      <c r="J544" s="435"/>
      <c r="L544" s="441"/>
    </row>
    <row r="545" spans="1:12" s="448" customFormat="1" ht="24.95" customHeight="1">
      <c r="A545" s="456"/>
      <c r="B545" s="442" t="s">
        <v>427</v>
      </c>
      <c r="C545" s="443" t="s">
        <v>3993</v>
      </c>
      <c r="D545" s="491">
        <f>'CE MINISTERIALE 2019'!D545</f>
        <v>52000</v>
      </c>
      <c r="E545" s="422"/>
      <c r="F545" s="423"/>
      <c r="G545" s="441"/>
      <c r="H545" s="441"/>
      <c r="J545" s="435"/>
      <c r="L545" s="441"/>
    </row>
    <row r="546" spans="1:12" s="448" customFormat="1" ht="24.95" customHeight="1">
      <c r="A546" s="456"/>
      <c r="B546" s="442" t="s">
        <v>429</v>
      </c>
      <c r="C546" s="443" t="s">
        <v>3994</v>
      </c>
      <c r="D546" s="438">
        <f>'CE MINISTERIALE 2019'!D546</f>
        <v>100500</v>
      </c>
      <c r="E546" s="422"/>
      <c r="F546" s="440"/>
      <c r="G546" s="441"/>
      <c r="H546" s="441"/>
      <c r="J546" s="435"/>
      <c r="L546" s="441"/>
    </row>
    <row r="547" spans="1:12" s="448" customFormat="1" ht="24.95" customHeight="1">
      <c r="A547" s="456"/>
      <c r="B547" s="446" t="s">
        <v>431</v>
      </c>
      <c r="C547" s="447" t="s">
        <v>3995</v>
      </c>
      <c r="D547" s="491">
        <f>'CE MINISTERIALE 2019'!D547</f>
        <v>0</v>
      </c>
      <c r="E547" s="422"/>
      <c r="F547" s="423"/>
      <c r="G547" s="441"/>
      <c r="H547" s="441"/>
      <c r="J547" s="435"/>
      <c r="L547" s="441"/>
    </row>
    <row r="548" spans="1:12" s="448" customFormat="1" ht="24.95" customHeight="1">
      <c r="A548" s="456"/>
      <c r="B548" s="446" t="s">
        <v>433</v>
      </c>
      <c r="C548" s="447" t="s">
        <v>3996</v>
      </c>
      <c r="D548" s="491">
        <f>'CE MINISTERIALE 2019'!D548</f>
        <v>100000</v>
      </c>
      <c r="E548" s="422"/>
      <c r="F548" s="423"/>
      <c r="G548" s="441"/>
      <c r="H548" s="441"/>
      <c r="J548" s="435"/>
      <c r="L548" s="441"/>
    </row>
    <row r="549" spans="1:12" s="448" customFormat="1" ht="24.95" customHeight="1">
      <c r="A549" s="456"/>
      <c r="B549" s="446" t="s">
        <v>435</v>
      </c>
      <c r="C549" s="447" t="s">
        <v>3997</v>
      </c>
      <c r="D549" s="438">
        <f>'CE MINISTERIALE 2019'!D549</f>
        <v>0</v>
      </c>
      <c r="E549" s="422"/>
      <c r="F549" s="440"/>
      <c r="G549" s="441"/>
      <c r="H549" s="441"/>
      <c r="J549" s="435"/>
      <c r="L549" s="441"/>
    </row>
    <row r="550" spans="1:12" s="448" customFormat="1" ht="24.95" customHeight="1">
      <c r="A550" s="456" t="s">
        <v>312</v>
      </c>
      <c r="B550" s="446" t="s">
        <v>437</v>
      </c>
      <c r="C550" s="447" t="s">
        <v>3998</v>
      </c>
      <c r="D550" s="438">
        <f>'CE MINISTERIALE 2019'!D550</f>
        <v>0</v>
      </c>
      <c r="E550" s="422"/>
      <c r="F550" s="440"/>
      <c r="G550" s="441"/>
      <c r="H550" s="441"/>
      <c r="J550" s="435"/>
      <c r="L550" s="441"/>
    </row>
    <row r="551" spans="1:12" s="448" customFormat="1" ht="24.95" customHeight="1">
      <c r="A551" s="456" t="s">
        <v>312</v>
      </c>
      <c r="B551" s="449" t="s">
        <v>439</v>
      </c>
      <c r="C551" s="450" t="s">
        <v>3999</v>
      </c>
      <c r="D551" s="491">
        <f>'CE MINISTERIALE 2019'!D551</f>
        <v>0</v>
      </c>
      <c r="E551" s="422"/>
      <c r="F551" s="423"/>
      <c r="G551" s="441"/>
      <c r="H551" s="441"/>
      <c r="J551" s="435"/>
      <c r="L551" s="441"/>
    </row>
    <row r="552" spans="1:12" s="448" customFormat="1" ht="24.95" customHeight="1">
      <c r="A552" s="456" t="s">
        <v>312</v>
      </c>
      <c r="B552" s="449" t="s">
        <v>441</v>
      </c>
      <c r="C552" s="450" t="s">
        <v>4000</v>
      </c>
      <c r="D552" s="491">
        <f>'CE MINISTERIALE 2019'!D552</f>
        <v>0</v>
      </c>
      <c r="E552" s="422"/>
      <c r="F552" s="423"/>
      <c r="G552" s="441"/>
      <c r="H552" s="441"/>
      <c r="J552" s="435"/>
      <c r="L552" s="441"/>
    </row>
    <row r="553" spans="1:12" s="448" customFormat="1" ht="24.95" customHeight="1">
      <c r="A553" s="456"/>
      <c r="B553" s="446" t="s">
        <v>240</v>
      </c>
      <c r="C553" s="447" t="s">
        <v>4001</v>
      </c>
      <c r="D553" s="438">
        <f>'CE MINISTERIALE 2019'!D553</f>
        <v>0</v>
      </c>
      <c r="E553" s="422"/>
      <c r="F553" s="440"/>
      <c r="G553" s="441"/>
      <c r="H553" s="441"/>
      <c r="J553" s="435"/>
      <c r="L553" s="441"/>
    </row>
    <row r="554" spans="1:12" s="448" customFormat="1" ht="24.95" customHeight="1">
      <c r="A554" s="456" t="s">
        <v>1589</v>
      </c>
      <c r="B554" s="449" t="s">
        <v>242</v>
      </c>
      <c r="C554" s="450" t="s">
        <v>4002</v>
      </c>
      <c r="D554" s="491">
        <f>'CE MINISTERIALE 2019'!D554</f>
        <v>0</v>
      </c>
      <c r="E554" s="422"/>
      <c r="F554" s="423"/>
      <c r="G554" s="441"/>
      <c r="H554" s="441"/>
      <c r="J554" s="435"/>
      <c r="L554" s="441"/>
    </row>
    <row r="555" spans="1:12" s="448" customFormat="1" ht="24.95" customHeight="1">
      <c r="A555" s="456"/>
      <c r="B555" s="449" t="s">
        <v>244</v>
      </c>
      <c r="C555" s="450" t="s">
        <v>4003</v>
      </c>
      <c r="D555" s="438">
        <f>'CE MINISTERIALE 2019'!D555</f>
        <v>0</v>
      </c>
      <c r="E555" s="422"/>
      <c r="F555" s="440"/>
      <c r="G555" s="441"/>
      <c r="H555" s="441"/>
      <c r="J555" s="435"/>
      <c r="L555" s="441"/>
    </row>
    <row r="556" spans="1:12" s="448" customFormat="1" ht="24.95" customHeight="1">
      <c r="A556" s="456"/>
      <c r="B556" s="446" t="s">
        <v>246</v>
      </c>
      <c r="C556" s="447" t="s">
        <v>4004</v>
      </c>
      <c r="D556" s="491">
        <f>'CE MINISTERIALE 2019'!D556</f>
        <v>0</v>
      </c>
      <c r="E556" s="422"/>
      <c r="F556" s="423"/>
      <c r="G556" s="441"/>
      <c r="H556" s="441"/>
      <c r="J556" s="435"/>
      <c r="L556" s="441"/>
    </row>
    <row r="557" spans="1:12" s="448" customFormat="1" ht="24.95" customHeight="1">
      <c r="A557" s="456"/>
      <c r="B557" s="446" t="s">
        <v>248</v>
      </c>
      <c r="C557" s="447" t="s">
        <v>5931</v>
      </c>
      <c r="D557" s="491">
        <f>'CE MINISTERIALE 2019'!D557</f>
        <v>0</v>
      </c>
      <c r="E557" s="422"/>
      <c r="F557" s="423"/>
      <c r="G557" s="441"/>
      <c r="H557" s="441"/>
      <c r="J557" s="435"/>
      <c r="L557" s="441"/>
    </row>
    <row r="558" spans="1:12" s="448" customFormat="1" ht="24.95" customHeight="1">
      <c r="A558" s="456"/>
      <c r="B558" s="446" t="s">
        <v>250</v>
      </c>
      <c r="C558" s="447" t="s">
        <v>4005</v>
      </c>
      <c r="D558" s="491">
        <f>'CE MINISTERIALE 2019'!D558</f>
        <v>0</v>
      </c>
      <c r="E558" s="422"/>
      <c r="F558" s="423"/>
      <c r="G558" s="441"/>
      <c r="H558" s="441"/>
      <c r="J558" s="435"/>
      <c r="L558" s="441"/>
    </row>
    <row r="559" spans="1:12" s="448" customFormat="1" ht="24.95" customHeight="1">
      <c r="A559" s="456"/>
      <c r="B559" s="449" t="s">
        <v>252</v>
      </c>
      <c r="C559" s="450" t="s">
        <v>4006</v>
      </c>
      <c r="D559" s="491">
        <f>'CE MINISTERIALE 2019'!D559</f>
        <v>0</v>
      </c>
      <c r="E559" s="422"/>
      <c r="F559" s="423"/>
      <c r="G559" s="441"/>
      <c r="H559" s="441"/>
      <c r="J559" s="435"/>
      <c r="L559" s="441"/>
    </row>
    <row r="560" spans="1:12" s="448" customFormat="1" ht="24.95" customHeight="1">
      <c r="A560" s="456"/>
      <c r="B560" s="449" t="s">
        <v>254</v>
      </c>
      <c r="C560" s="450" t="s">
        <v>4007</v>
      </c>
      <c r="D560" s="491">
        <f>'CE MINISTERIALE 2019'!D560</f>
        <v>0</v>
      </c>
      <c r="E560" s="422"/>
      <c r="F560" s="423"/>
      <c r="G560" s="441"/>
      <c r="H560" s="441"/>
      <c r="J560" s="435"/>
      <c r="L560" s="441"/>
    </row>
    <row r="561" spans="1:12" s="448" customFormat="1" ht="24.95" customHeight="1">
      <c r="A561" s="456"/>
      <c r="B561" s="449" t="s">
        <v>256</v>
      </c>
      <c r="C561" s="450" t="s">
        <v>5932</v>
      </c>
      <c r="D561" s="491">
        <f>'CE MINISTERIALE 2019'!D561</f>
        <v>0</v>
      </c>
      <c r="E561" s="422"/>
      <c r="F561" s="423"/>
      <c r="G561" s="441"/>
      <c r="H561" s="441"/>
      <c r="J561" s="435"/>
      <c r="L561" s="441"/>
    </row>
    <row r="562" spans="1:12" s="448" customFormat="1" ht="24.95" customHeight="1">
      <c r="A562" s="456"/>
      <c r="B562" s="449" t="s">
        <v>258</v>
      </c>
      <c r="C562" s="450" t="s">
        <v>4008</v>
      </c>
      <c r="D562" s="491">
        <f>'CE MINISTERIALE 2019'!D562</f>
        <v>0</v>
      </c>
      <c r="E562" s="422"/>
      <c r="F562" s="423"/>
      <c r="G562" s="441"/>
      <c r="H562" s="441"/>
      <c r="J562" s="435"/>
      <c r="L562" s="441"/>
    </row>
    <row r="563" spans="1:12" s="448" customFormat="1" ht="24.95" customHeight="1">
      <c r="A563" s="456"/>
      <c r="B563" s="449" t="s">
        <v>260</v>
      </c>
      <c r="C563" s="450" t="s">
        <v>4009</v>
      </c>
      <c r="D563" s="491">
        <f>'CE MINISTERIALE 2019'!D563</f>
        <v>0</v>
      </c>
      <c r="E563" s="422"/>
      <c r="F563" s="423"/>
      <c r="G563" s="441"/>
      <c r="H563" s="441"/>
      <c r="J563" s="435"/>
      <c r="L563" s="441"/>
    </row>
    <row r="564" spans="1:12" s="448" customFormat="1" ht="24.95" customHeight="1">
      <c r="A564" s="456"/>
      <c r="B564" s="446" t="s">
        <v>262</v>
      </c>
      <c r="C564" s="447" t="s">
        <v>5933</v>
      </c>
      <c r="D564" s="438">
        <f>'CE MINISTERIALE 2019'!D564</f>
        <v>0</v>
      </c>
      <c r="E564" s="422"/>
      <c r="F564" s="440"/>
      <c r="G564" s="441"/>
      <c r="H564" s="441"/>
      <c r="J564" s="435"/>
      <c r="L564" s="441"/>
    </row>
    <row r="565" spans="1:12" s="423" customFormat="1" ht="24.95" customHeight="1">
      <c r="A565" s="453"/>
      <c r="B565" s="446" t="s">
        <v>4906</v>
      </c>
      <c r="C565" s="447" t="s">
        <v>5934</v>
      </c>
      <c r="D565" s="491">
        <f>'CE MINISTERIALE 2019'!D565</f>
        <v>0</v>
      </c>
      <c r="E565" s="422"/>
      <c r="G565" s="441"/>
      <c r="H565" s="441"/>
      <c r="J565" s="435"/>
      <c r="L565" s="441"/>
    </row>
    <row r="566" spans="1:12" s="423" customFormat="1" ht="24.95" customHeight="1">
      <c r="A566" s="453" t="s">
        <v>312</v>
      </c>
      <c r="B566" s="446" t="s">
        <v>264</v>
      </c>
      <c r="C566" s="447" t="s">
        <v>5935</v>
      </c>
      <c r="D566" s="491">
        <f>'CE MINISTERIALE 2019'!D566</f>
        <v>0</v>
      </c>
      <c r="E566" s="422"/>
      <c r="G566" s="441"/>
      <c r="H566" s="441"/>
      <c r="J566" s="435"/>
      <c r="L566" s="441"/>
    </row>
    <row r="567" spans="1:12" s="423" customFormat="1" ht="24.95" customHeight="1">
      <c r="A567" s="453"/>
      <c r="B567" s="446" t="s">
        <v>265</v>
      </c>
      <c r="C567" s="447" t="s">
        <v>5936</v>
      </c>
      <c r="D567" s="438">
        <f>'CE MINISTERIALE 2019'!D567</f>
        <v>0</v>
      </c>
      <c r="E567" s="422"/>
      <c r="F567" s="440"/>
      <c r="G567" s="441"/>
      <c r="H567" s="441"/>
      <c r="J567" s="435"/>
      <c r="L567" s="441"/>
    </row>
    <row r="568" spans="1:12" s="423" customFormat="1" ht="24.95" customHeight="1">
      <c r="A568" s="453" t="s">
        <v>1589</v>
      </c>
      <c r="B568" s="449" t="s">
        <v>266</v>
      </c>
      <c r="C568" s="450" t="s">
        <v>5937</v>
      </c>
      <c r="D568" s="491">
        <f>'CE MINISTERIALE 2019'!D568</f>
        <v>0</v>
      </c>
      <c r="E568" s="422"/>
      <c r="G568" s="441"/>
      <c r="H568" s="441"/>
      <c r="J568" s="435"/>
      <c r="L568" s="441"/>
    </row>
    <row r="569" spans="1:12" s="423" customFormat="1" ht="24.95" customHeight="1">
      <c r="A569" s="453"/>
      <c r="B569" s="449" t="s">
        <v>267</v>
      </c>
      <c r="C569" s="450" t="s">
        <v>5938</v>
      </c>
      <c r="D569" s="491">
        <f>'CE MINISTERIALE 2019'!D569</f>
        <v>0</v>
      </c>
      <c r="E569" s="422"/>
      <c r="G569" s="441"/>
      <c r="H569" s="441"/>
      <c r="J569" s="435"/>
      <c r="L569" s="441"/>
    </row>
    <row r="570" spans="1:12" s="423" customFormat="1" ht="24.95" customHeight="1">
      <c r="A570" s="453"/>
      <c r="B570" s="449" t="s">
        <v>268</v>
      </c>
      <c r="C570" s="450" t="s">
        <v>5939</v>
      </c>
      <c r="D570" s="491">
        <f>'CE MINISTERIALE 2019'!D570</f>
        <v>0</v>
      </c>
      <c r="E570" s="422"/>
      <c r="G570" s="441"/>
      <c r="H570" s="441"/>
      <c r="J570" s="435"/>
      <c r="L570" s="441"/>
    </row>
    <row r="571" spans="1:12" s="423" customFormat="1" ht="24.95" customHeight="1">
      <c r="A571" s="453"/>
      <c r="B571" s="449" t="s">
        <v>1129</v>
      </c>
      <c r="C571" s="450" t="s">
        <v>5940</v>
      </c>
      <c r="D571" s="491">
        <f>'CE MINISTERIALE 2019'!D571</f>
        <v>0</v>
      </c>
      <c r="E571" s="422"/>
      <c r="G571" s="441"/>
      <c r="H571" s="441"/>
      <c r="J571" s="435"/>
      <c r="L571" s="441"/>
    </row>
    <row r="572" spans="1:12" s="423" customFormat="1" ht="24.95" customHeight="1">
      <c r="A572" s="453"/>
      <c r="B572" s="449" t="s">
        <v>1130</v>
      </c>
      <c r="C572" s="450" t="s">
        <v>5941</v>
      </c>
      <c r="D572" s="491">
        <f>'CE MINISTERIALE 2019'!D572</f>
        <v>0</v>
      </c>
      <c r="E572" s="422"/>
      <c r="G572" s="441"/>
      <c r="H572" s="441"/>
      <c r="J572" s="435"/>
      <c r="L572" s="441"/>
    </row>
    <row r="573" spans="1:12" s="423" customFormat="1" ht="24.95" customHeight="1">
      <c r="A573" s="453"/>
      <c r="B573" s="449" t="s">
        <v>1131</v>
      </c>
      <c r="C573" s="450" t="s">
        <v>5942</v>
      </c>
      <c r="D573" s="491">
        <f>'CE MINISTERIALE 2019'!D573</f>
        <v>0</v>
      </c>
      <c r="E573" s="422"/>
      <c r="G573" s="441"/>
      <c r="H573" s="441"/>
      <c r="J573" s="435"/>
      <c r="L573" s="441"/>
    </row>
    <row r="574" spans="1:12" s="423" customFormat="1" ht="24.95" customHeight="1">
      <c r="A574" s="453"/>
      <c r="B574" s="449" t="s">
        <v>1132</v>
      </c>
      <c r="C574" s="450" t="s">
        <v>5943</v>
      </c>
      <c r="D574" s="491">
        <f>'CE MINISTERIALE 2019'!D574</f>
        <v>0</v>
      </c>
      <c r="E574" s="422"/>
      <c r="G574" s="441"/>
      <c r="H574" s="441"/>
      <c r="J574" s="435"/>
      <c r="L574" s="441"/>
    </row>
    <row r="575" spans="1:12" s="448" customFormat="1" ht="24.95" customHeight="1">
      <c r="A575" s="456"/>
      <c r="B575" s="446" t="s">
        <v>1133</v>
      </c>
      <c r="C575" s="447" t="s">
        <v>5944</v>
      </c>
      <c r="D575" s="491">
        <f>'CE MINISTERIALE 2019'!D575</f>
        <v>500</v>
      </c>
      <c r="E575" s="422"/>
      <c r="F575" s="423"/>
      <c r="G575" s="469"/>
      <c r="H575" s="469"/>
      <c r="J575" s="435"/>
      <c r="L575" s="441"/>
    </row>
    <row r="576" spans="1:12" s="448" customFormat="1" ht="25.5">
      <c r="A576" s="456"/>
      <c r="B576" s="436" t="s">
        <v>1135</v>
      </c>
      <c r="C576" s="437" t="s">
        <v>4010</v>
      </c>
      <c r="D576" s="438">
        <f>'CE MINISTERIALE 2019'!D576</f>
        <v>4857500</v>
      </c>
      <c r="E576" s="422"/>
      <c r="F576" s="440"/>
      <c r="G576" s="469"/>
      <c r="H576" s="469"/>
      <c r="J576" s="435"/>
      <c r="L576" s="441"/>
    </row>
    <row r="577" spans="1:29" s="448" customFormat="1" ht="24.95" customHeight="1">
      <c r="A577" s="456"/>
      <c r="B577" s="436" t="s">
        <v>1137</v>
      </c>
      <c r="C577" s="437" t="s">
        <v>4011</v>
      </c>
      <c r="D577" s="438">
        <f>'CE MINISTERIALE 2019'!D577</f>
        <v>40469000</v>
      </c>
      <c r="E577" s="422"/>
      <c r="F577" s="440"/>
      <c r="G577" s="470"/>
      <c r="H577" s="470"/>
      <c r="J577" s="435"/>
      <c r="L577" s="441"/>
    </row>
    <row r="578" spans="1:29" s="423" customFormat="1" ht="24.95" customHeight="1">
      <c r="A578" s="453"/>
      <c r="B578" s="449"/>
      <c r="C578" s="437" t="s">
        <v>5945</v>
      </c>
      <c r="D578" s="438">
        <f>'CE MINISTERIALE 2019'!D578</f>
        <v>0</v>
      </c>
      <c r="E578" s="422"/>
      <c r="G578" s="471"/>
      <c r="H578" s="471"/>
      <c r="J578" s="435"/>
      <c r="L578" s="441"/>
    </row>
    <row r="579" spans="1:29" s="448" customFormat="1" ht="24.75" customHeight="1">
      <c r="A579" s="456"/>
      <c r="B579" s="436" t="s">
        <v>1139</v>
      </c>
      <c r="C579" s="437" t="s">
        <v>1140</v>
      </c>
      <c r="D579" s="438">
        <f>'CE MINISTERIALE 2019'!D579</f>
        <v>40469000</v>
      </c>
      <c r="E579" s="422"/>
      <c r="F579" s="440"/>
      <c r="G579" s="472"/>
      <c r="H579" s="472"/>
      <c r="J579" s="435"/>
      <c r="L579" s="441"/>
    </row>
    <row r="580" spans="1:29" s="448" customFormat="1" ht="24.75" customHeight="1">
      <c r="A580" s="678"/>
      <c r="B580" s="442" t="s">
        <v>1141</v>
      </c>
      <c r="C580" s="443" t="s">
        <v>4012</v>
      </c>
      <c r="D580" s="491">
        <f>'CE MINISTERIALE 2019'!D580</f>
        <v>40115000</v>
      </c>
      <c r="E580" s="422"/>
      <c r="F580" s="423"/>
      <c r="G580" s="471"/>
      <c r="H580" s="471"/>
      <c r="J580" s="435"/>
      <c r="L580" s="441"/>
    </row>
    <row r="581" spans="1:29" s="448" customFormat="1" ht="24.75" customHeight="1">
      <c r="A581" s="678"/>
      <c r="B581" s="442" t="s">
        <v>1143</v>
      </c>
      <c r="C581" s="443" t="s">
        <v>5946</v>
      </c>
      <c r="D581" s="491">
        <f>'CE MINISTERIALE 2019'!D581</f>
        <v>202000</v>
      </c>
      <c r="E581" s="422"/>
      <c r="F581" s="423"/>
      <c r="G581" s="469"/>
      <c r="H581" s="469"/>
      <c r="J581" s="435"/>
      <c r="L581" s="441"/>
    </row>
    <row r="582" spans="1:29" s="448" customFormat="1" ht="24.75" customHeight="1">
      <c r="A582" s="678"/>
      <c r="B582" s="442" t="s">
        <v>1145</v>
      </c>
      <c r="C582" s="443" t="s">
        <v>5947</v>
      </c>
      <c r="D582" s="491">
        <f>'CE MINISTERIALE 2019'!D582</f>
        <v>152000</v>
      </c>
      <c r="E582" s="422"/>
      <c r="F582" s="423"/>
      <c r="G582" s="471"/>
      <c r="H582" s="471"/>
      <c r="J582" s="435"/>
      <c r="L582" s="441"/>
    </row>
    <row r="583" spans="1:29" s="448" customFormat="1" ht="24.75" customHeight="1">
      <c r="A583" s="678"/>
      <c r="B583" s="442" t="s">
        <v>1147</v>
      </c>
      <c r="C583" s="443" t="s">
        <v>4013</v>
      </c>
      <c r="D583" s="491">
        <f>'CE MINISTERIALE 2019'!D583</f>
        <v>0</v>
      </c>
      <c r="E583" s="422"/>
      <c r="F583" s="423"/>
      <c r="G583" s="471"/>
      <c r="H583" s="471"/>
      <c r="J583" s="435"/>
      <c r="L583" s="441"/>
    </row>
    <row r="584" spans="1:29" s="448" customFormat="1" ht="24.75" customHeight="1">
      <c r="A584" s="456"/>
      <c r="B584" s="436" t="s">
        <v>1149</v>
      </c>
      <c r="C584" s="437" t="s">
        <v>1150</v>
      </c>
      <c r="D584" s="438">
        <f>'CE MINISTERIALE 2019'!D584</f>
        <v>0</v>
      </c>
      <c r="E584" s="422"/>
      <c r="F584" s="440"/>
      <c r="G584" s="471"/>
      <c r="H584" s="471"/>
      <c r="J584" s="435"/>
      <c r="L584" s="441"/>
    </row>
    <row r="585" spans="1:29" s="448" customFormat="1" ht="24.75" customHeight="1">
      <c r="A585" s="456"/>
      <c r="B585" s="442" t="s">
        <v>1151</v>
      </c>
      <c r="C585" s="443" t="s">
        <v>4014</v>
      </c>
      <c r="D585" s="491">
        <f>'CE MINISTERIALE 2019'!D585</f>
        <v>0</v>
      </c>
      <c r="E585" s="422"/>
      <c r="F585" s="423"/>
      <c r="G585" s="472"/>
      <c r="H585" s="472"/>
      <c r="J585" s="435"/>
      <c r="L585" s="441"/>
    </row>
    <row r="586" spans="1:29" s="448" customFormat="1" ht="24.75" customHeight="1">
      <c r="A586" s="456"/>
      <c r="B586" s="442" t="s">
        <v>1153</v>
      </c>
      <c r="C586" s="443" t="s">
        <v>4015</v>
      </c>
      <c r="D586" s="491">
        <f>'CE MINISTERIALE 2019'!D586</f>
        <v>0</v>
      </c>
      <c r="E586" s="422"/>
      <c r="F586" s="423"/>
      <c r="G586" s="471"/>
      <c r="H586" s="471"/>
      <c r="J586" s="435"/>
      <c r="L586" s="441"/>
    </row>
    <row r="587" spans="1:29" s="423" customFormat="1" ht="24.75" customHeight="1">
      <c r="A587" s="453"/>
      <c r="B587" s="436" t="s">
        <v>1155</v>
      </c>
      <c r="C587" s="437" t="s">
        <v>4016</v>
      </c>
      <c r="D587" s="491">
        <f>'CE MINISTERIALE 2019'!D587</f>
        <v>0</v>
      </c>
      <c r="E587" s="422"/>
      <c r="G587" s="473"/>
      <c r="H587" s="473"/>
      <c r="J587" s="435"/>
      <c r="L587" s="441"/>
    </row>
    <row r="588" spans="1:29" s="423" customFormat="1" ht="24.75" customHeight="1">
      <c r="A588" s="453"/>
      <c r="B588" s="436" t="s">
        <v>1157</v>
      </c>
      <c r="C588" s="437" t="s">
        <v>5948</v>
      </c>
      <c r="D588" s="438">
        <f>'CE MINISTERIALE 2019'!D588</f>
        <v>40469000</v>
      </c>
      <c r="E588" s="422"/>
      <c r="F588" s="440"/>
      <c r="G588" s="474"/>
      <c r="H588" s="474"/>
      <c r="J588" s="435"/>
      <c r="L588" s="441"/>
    </row>
    <row r="589" spans="1:29" s="423" customFormat="1" ht="24.75" customHeight="1" thickBot="1">
      <c r="A589" s="685"/>
      <c r="B589" s="475" t="s">
        <v>1158</v>
      </c>
      <c r="C589" s="476" t="s">
        <v>4017</v>
      </c>
      <c r="D589" s="477">
        <f>'CE MINISTERIALE 2019'!D589</f>
        <v>0</v>
      </c>
      <c r="E589" s="422"/>
      <c r="F589" s="440"/>
      <c r="G589" s="474"/>
      <c r="H589" s="474"/>
      <c r="J589" s="435"/>
      <c r="L589" s="441"/>
    </row>
    <row r="590" spans="1:29" s="33" customFormat="1">
      <c r="A590" s="469"/>
      <c r="B590" s="478"/>
      <c r="C590" s="479"/>
      <c r="D590" s="480"/>
      <c r="E590" s="469"/>
      <c r="F590" s="469"/>
      <c r="G590" s="474"/>
      <c r="H590" s="474"/>
      <c r="I590" s="469"/>
      <c r="J590" s="469"/>
      <c r="K590" s="469"/>
      <c r="L590" s="469"/>
      <c r="M590" s="469"/>
      <c r="N590" s="469"/>
      <c r="O590" s="469"/>
      <c r="P590" s="469"/>
      <c r="Q590" s="469"/>
      <c r="R590" s="469"/>
      <c r="S590" s="469"/>
      <c r="T590" s="469"/>
      <c r="U590" s="469"/>
      <c r="V590" s="469"/>
      <c r="W590" s="469"/>
      <c r="X590" s="469"/>
      <c r="Y590" s="469"/>
      <c r="Z590" s="469"/>
      <c r="AA590" s="469"/>
      <c r="AB590" s="469"/>
      <c r="AC590" s="481"/>
    </row>
    <row r="591" spans="1:29" s="33" customFormat="1">
      <c r="A591" s="469"/>
      <c r="B591" s="48" t="s">
        <v>5949</v>
      </c>
      <c r="C591" s="479"/>
      <c r="D591" s="480"/>
      <c r="E591" s="469"/>
      <c r="F591" s="469"/>
      <c r="G591" s="474"/>
      <c r="H591" s="474"/>
      <c r="I591" s="469"/>
      <c r="J591" s="469"/>
      <c r="K591" s="469"/>
      <c r="L591" s="469"/>
      <c r="M591" s="469"/>
      <c r="N591" s="469"/>
      <c r="O591" s="469"/>
      <c r="P591" s="469"/>
      <c r="Q591" s="469"/>
      <c r="R591" s="469"/>
      <c r="S591" s="469"/>
      <c r="T591" s="469"/>
      <c r="U591" s="469"/>
      <c r="V591" s="469"/>
      <c r="W591" s="469"/>
      <c r="X591" s="469"/>
      <c r="Y591" s="469"/>
      <c r="Z591" s="469"/>
      <c r="AA591" s="469"/>
      <c r="AB591" s="469"/>
      <c r="AC591" s="481"/>
    </row>
    <row r="592" spans="1:29" s="33" customFormat="1">
      <c r="A592" s="482"/>
      <c r="B592" s="363"/>
      <c r="C592" s="483"/>
      <c r="D592" s="484"/>
      <c r="E592" s="470"/>
      <c r="F592" s="470"/>
      <c r="G592" s="474"/>
      <c r="H592" s="474"/>
      <c r="I592" s="470"/>
      <c r="J592" s="470"/>
      <c r="K592" s="470"/>
      <c r="L592" s="470"/>
      <c r="M592" s="470"/>
      <c r="N592" s="470"/>
      <c r="O592" s="470"/>
      <c r="P592" s="470"/>
      <c r="Q592" s="470"/>
      <c r="R592" s="470"/>
      <c r="S592" s="470"/>
      <c r="T592" s="470"/>
      <c r="U592" s="470"/>
      <c r="V592" s="470"/>
      <c r="W592" s="470"/>
      <c r="X592" s="470"/>
      <c r="Y592" s="470"/>
      <c r="Z592" s="470"/>
      <c r="AA592" s="470"/>
      <c r="AB592" s="470"/>
      <c r="AC592" s="485"/>
    </row>
    <row r="593" spans="1:30" s="33" customFormat="1">
      <c r="A593" s="482"/>
      <c r="B593" s="48"/>
      <c r="C593" s="48"/>
      <c r="D593" s="486"/>
      <c r="E593" s="471"/>
      <c r="F593" s="471"/>
      <c r="G593" s="474"/>
      <c r="H593" s="474"/>
      <c r="I593" s="471"/>
      <c r="J593" s="471"/>
      <c r="K593" s="471"/>
      <c r="L593" s="471"/>
      <c r="M593" s="471"/>
      <c r="N593" s="471"/>
      <c r="O593" s="471"/>
      <c r="P593" s="471"/>
      <c r="Q593" s="471"/>
      <c r="R593" s="471"/>
      <c r="S593" s="471"/>
      <c r="T593" s="471"/>
      <c r="U593" s="471"/>
      <c r="V593" s="471"/>
      <c r="W593" s="471"/>
      <c r="X593" s="471"/>
      <c r="Y593" s="471"/>
      <c r="Z593" s="471"/>
      <c r="AA593" s="471"/>
      <c r="AB593" s="471"/>
      <c r="AC593" s="487"/>
    </row>
    <row r="594" spans="1:30" s="34" customFormat="1" ht="15" customHeight="1">
      <c r="A594" s="482"/>
      <c r="B594" s="49" t="s">
        <v>4018</v>
      </c>
      <c r="C594" s="51"/>
      <c r="D594" s="484"/>
      <c r="E594" s="472"/>
      <c r="F594" s="472"/>
      <c r="G594" s="474"/>
      <c r="H594" s="474"/>
      <c r="I594" s="472"/>
      <c r="K594" s="472"/>
      <c r="N594" s="472"/>
      <c r="O594" s="34" t="s">
        <v>5950</v>
      </c>
      <c r="P594" s="472"/>
      <c r="Q594" s="472"/>
      <c r="R594" s="472"/>
      <c r="S594" s="472"/>
      <c r="T594" s="472"/>
      <c r="U594" s="472"/>
      <c r="V594" s="472"/>
      <c r="W594" s="472"/>
      <c r="X594" s="472"/>
      <c r="Y594" s="472"/>
      <c r="Z594" s="472"/>
      <c r="AA594" s="472"/>
      <c r="AB594" s="472"/>
      <c r="AC594" s="378"/>
    </row>
    <row r="595" spans="1:30" s="33" customFormat="1">
      <c r="A595" s="469"/>
      <c r="B595" s="48"/>
      <c r="C595" s="48"/>
      <c r="D595" s="486"/>
      <c r="E595" s="471"/>
      <c r="F595" s="471"/>
      <c r="G595" s="474"/>
      <c r="H595" s="474"/>
      <c r="I595" s="471"/>
      <c r="J595" s="471"/>
      <c r="K595" s="471"/>
      <c r="L595" s="471"/>
      <c r="M595" s="471"/>
      <c r="N595" s="471"/>
      <c r="O595" s="471"/>
      <c r="P595" s="471"/>
      <c r="Q595" s="471"/>
      <c r="R595" s="471"/>
      <c r="S595" s="471"/>
      <c r="T595" s="471"/>
      <c r="U595" s="471"/>
      <c r="V595" s="471"/>
      <c r="W595" s="471"/>
      <c r="X595" s="471"/>
      <c r="Y595" s="471"/>
      <c r="Z595" s="471"/>
      <c r="AA595" s="471"/>
      <c r="AB595" s="471"/>
      <c r="AC595" s="487"/>
    </row>
    <row r="596" spans="1:30" s="33" customFormat="1">
      <c r="A596" s="469"/>
      <c r="B596" s="49" t="s">
        <v>4921</v>
      </c>
      <c r="C596" s="479"/>
      <c r="D596" s="480"/>
      <c r="E596" s="469"/>
      <c r="F596" s="469"/>
      <c r="G596" s="474"/>
      <c r="H596" s="474"/>
      <c r="I596" s="469"/>
      <c r="K596" s="472" t="s">
        <v>4921</v>
      </c>
      <c r="L596" s="472"/>
      <c r="M596" s="472"/>
      <c r="N596" s="472"/>
      <c r="O596" s="472"/>
      <c r="P596" s="472"/>
      <c r="Q596" s="472"/>
      <c r="R596" s="472"/>
      <c r="S596" s="472"/>
      <c r="T596" s="472"/>
      <c r="U596" s="472"/>
      <c r="V596" s="472"/>
      <c r="W596" s="472"/>
      <c r="X596" s="472"/>
      <c r="Y596" s="472"/>
      <c r="Z596" s="472"/>
      <c r="AA596" s="472"/>
      <c r="AB596" s="472"/>
      <c r="AC596" s="369"/>
    </row>
    <row r="597" spans="1:30" s="499" customFormat="1">
      <c r="A597" s="492"/>
      <c r="B597" s="493" t="s">
        <v>4924</v>
      </c>
      <c r="C597" s="494"/>
      <c r="D597" s="495"/>
      <c r="E597" s="524"/>
      <c r="F597" s="524"/>
      <c r="G597" s="497"/>
      <c r="H597" s="497"/>
      <c r="I597" s="524"/>
      <c r="J597" s="524"/>
      <c r="K597" s="524"/>
      <c r="L597" s="665" t="s">
        <v>4926</v>
      </c>
      <c r="M597" s="665"/>
      <c r="N597" s="665"/>
      <c r="O597" s="665"/>
      <c r="P597" s="665"/>
      <c r="Q597" s="665"/>
      <c r="R597" s="665"/>
      <c r="S597" s="665"/>
      <c r="T597" s="665"/>
      <c r="U597" s="665"/>
      <c r="V597" s="665"/>
      <c r="W597" s="665"/>
      <c r="X597" s="524"/>
      <c r="Y597" s="524"/>
      <c r="Z597" s="524"/>
      <c r="AA597" s="524"/>
      <c r="AB597" s="524"/>
      <c r="AC597" s="498"/>
    </row>
    <row r="598" spans="1:30" s="33" customFormat="1">
      <c r="A598" s="469"/>
      <c r="B598" s="48"/>
      <c r="C598" s="48"/>
      <c r="D598" s="486"/>
      <c r="E598" s="471"/>
      <c r="F598" s="471"/>
      <c r="G598" s="474"/>
      <c r="H598" s="474"/>
      <c r="I598" s="471"/>
      <c r="J598" s="471"/>
      <c r="K598" s="471"/>
      <c r="L598" s="471"/>
      <c r="M598" s="471"/>
      <c r="N598" s="471"/>
      <c r="O598" s="471"/>
      <c r="P598" s="471"/>
      <c r="Q598" s="471"/>
      <c r="R598" s="471"/>
      <c r="S598" s="471"/>
      <c r="T598" s="471"/>
      <c r="U598" s="471"/>
      <c r="V598" s="471"/>
      <c r="W598" s="471"/>
      <c r="X598" s="471"/>
      <c r="Y598" s="471"/>
      <c r="Z598" s="471"/>
      <c r="AA598" s="471"/>
      <c r="AB598" s="471"/>
      <c r="AC598" s="487"/>
    </row>
    <row r="599" spans="1:30" s="33" customFormat="1">
      <c r="A599" s="469"/>
      <c r="B599" s="48"/>
      <c r="C599" s="48"/>
      <c r="D599" s="486"/>
      <c r="E599" s="471"/>
      <c r="F599" s="471"/>
      <c r="G599" s="474"/>
      <c r="H599" s="474"/>
      <c r="I599" s="471"/>
      <c r="J599" s="471"/>
      <c r="K599" s="471"/>
      <c r="L599" s="471"/>
      <c r="M599" s="471"/>
      <c r="N599" s="471"/>
      <c r="O599" s="471"/>
      <c r="P599" s="471"/>
      <c r="Q599" s="471"/>
      <c r="R599" s="471"/>
      <c r="S599" s="471"/>
      <c r="T599" s="471"/>
      <c r="U599" s="471"/>
      <c r="V599" s="471"/>
      <c r="W599" s="471"/>
      <c r="X599" s="471"/>
      <c r="Y599" s="471"/>
      <c r="Z599" s="471"/>
      <c r="AA599" s="471"/>
      <c r="AB599" s="471"/>
      <c r="AC599" s="487"/>
    </row>
    <row r="600" spans="1:30" s="33" customFormat="1">
      <c r="A600" s="488"/>
      <c r="B600" s="363"/>
      <c r="C600" s="51"/>
      <c r="D600" s="484"/>
      <c r="E600" s="472"/>
      <c r="F600" s="472"/>
      <c r="G600" s="474"/>
      <c r="H600" s="474"/>
      <c r="I600" s="472"/>
      <c r="K600" s="472"/>
      <c r="L600" s="472"/>
      <c r="O600" s="472"/>
      <c r="P600" s="33" t="s">
        <v>4019</v>
      </c>
      <c r="Q600" s="472"/>
      <c r="R600" s="472"/>
      <c r="S600" s="472"/>
      <c r="T600" s="472"/>
      <c r="U600" s="472"/>
      <c r="V600" s="472"/>
      <c r="W600" s="472"/>
      <c r="X600" s="472"/>
      <c r="Y600" s="472"/>
      <c r="Z600" s="472"/>
      <c r="AA600" s="472"/>
      <c r="AB600" s="472"/>
      <c r="AC600" s="369"/>
    </row>
    <row r="601" spans="1:30" s="33" customFormat="1">
      <c r="A601" s="488"/>
      <c r="B601" s="48"/>
      <c r="C601" s="48"/>
      <c r="D601" s="486"/>
      <c r="E601" s="471"/>
      <c r="F601" s="471"/>
      <c r="G601" s="474"/>
      <c r="H601" s="474"/>
      <c r="I601" s="471"/>
      <c r="J601" s="471"/>
      <c r="K601" s="471"/>
      <c r="L601" s="471"/>
      <c r="M601" s="471"/>
      <c r="N601" s="471"/>
      <c r="O601" s="471"/>
      <c r="P601" s="471"/>
      <c r="Q601" s="471"/>
      <c r="R601" s="471"/>
      <c r="S601" s="471"/>
      <c r="T601" s="471"/>
      <c r="U601" s="471"/>
      <c r="V601" s="471"/>
      <c r="W601" s="471"/>
      <c r="X601" s="471"/>
      <c r="Y601" s="471"/>
      <c r="Z601" s="471"/>
      <c r="AA601" s="471"/>
      <c r="AB601" s="471"/>
      <c r="AC601" s="487"/>
    </row>
    <row r="602" spans="1:30">
      <c r="A602" s="488"/>
      <c r="C602" s="50"/>
      <c r="D602" s="484"/>
      <c r="E602" s="473"/>
      <c r="F602" s="473"/>
      <c r="I602" s="473"/>
      <c r="J602" s="472"/>
      <c r="K602" s="472" t="s">
        <v>4921</v>
      </c>
      <c r="L602" s="472"/>
      <c r="M602" s="472"/>
      <c r="N602" s="472"/>
      <c r="O602" s="472"/>
      <c r="P602" s="472"/>
      <c r="Q602" s="472"/>
      <c r="R602" s="472"/>
      <c r="S602" s="472"/>
      <c r="T602" s="472"/>
      <c r="U602" s="472"/>
      <c r="V602" s="472"/>
      <c r="W602" s="472"/>
      <c r="X602" s="472"/>
      <c r="Y602" s="472"/>
      <c r="Z602" s="472"/>
      <c r="AA602" s="472"/>
      <c r="AB602" s="472"/>
      <c r="AD602" s="365"/>
    </row>
    <row r="603" spans="1:30" s="500" customFormat="1">
      <c r="B603" s="501"/>
      <c r="C603" s="501"/>
      <c r="D603" s="502"/>
      <c r="E603" s="497"/>
      <c r="F603" s="497"/>
      <c r="G603" s="497"/>
      <c r="H603" s="497"/>
      <c r="I603" s="497"/>
      <c r="J603" s="503"/>
      <c r="K603" s="503"/>
      <c r="L603" s="665" t="s">
        <v>4925</v>
      </c>
      <c r="M603" s="665"/>
      <c r="N603" s="665"/>
      <c r="O603" s="665"/>
      <c r="P603" s="665"/>
      <c r="Q603" s="665"/>
      <c r="R603" s="665"/>
      <c r="S603" s="665"/>
      <c r="T603" s="665"/>
      <c r="U603" s="665"/>
      <c r="V603" s="665"/>
      <c r="W603" s="665"/>
      <c r="X603" s="504"/>
      <c r="Y603" s="504"/>
      <c r="Z603" s="504"/>
      <c r="AA603" s="504"/>
      <c r="AC603" s="505"/>
      <c r="AD603" s="506"/>
    </row>
    <row r="604" spans="1:30">
      <c r="W604" s="489"/>
      <c r="X604" s="489"/>
      <c r="Y604" s="489"/>
      <c r="Z604" s="489"/>
      <c r="AA604" s="489"/>
    </row>
    <row r="605" spans="1:30">
      <c r="W605" s="489"/>
      <c r="X605" s="489"/>
      <c r="Y605" s="489"/>
      <c r="Z605" s="489"/>
      <c r="AA605" s="489"/>
    </row>
    <row r="606" spans="1:30">
      <c r="W606" s="489"/>
      <c r="X606" s="489"/>
      <c r="Y606" s="489"/>
      <c r="Z606" s="489"/>
      <c r="AA606" s="489"/>
    </row>
    <row r="607" spans="1:30">
      <c r="W607" s="489"/>
      <c r="X607" s="489"/>
      <c r="Y607" s="489"/>
      <c r="Z607" s="489"/>
      <c r="AA607" s="489"/>
    </row>
    <row r="608" spans="1:30">
      <c r="W608" s="489"/>
      <c r="X608" s="489"/>
      <c r="Y608" s="489"/>
      <c r="Z608" s="489"/>
      <c r="AA608" s="489"/>
    </row>
    <row r="609" spans="23:27">
      <c r="W609" s="489"/>
      <c r="X609" s="489"/>
      <c r="Y609" s="489"/>
      <c r="Z609" s="489"/>
      <c r="AA609" s="489"/>
    </row>
    <row r="610" spans="23:27">
      <c r="W610" s="489"/>
      <c r="X610" s="489"/>
      <c r="Y610" s="489"/>
      <c r="Z610" s="489"/>
      <c r="AA610" s="489"/>
    </row>
    <row r="611" spans="23:27">
      <c r="W611" s="489"/>
      <c r="X611" s="489"/>
      <c r="Y611" s="489"/>
      <c r="Z611" s="489"/>
      <c r="AA611" s="489"/>
    </row>
    <row r="612" spans="23:27">
      <c r="W612" s="489"/>
      <c r="X612" s="489"/>
      <c r="Y612" s="489"/>
      <c r="Z612" s="489"/>
      <c r="AA612" s="489"/>
    </row>
    <row r="613" spans="23:27">
      <c r="W613" s="489"/>
      <c r="X613" s="489"/>
      <c r="Y613" s="489"/>
      <c r="Z613" s="489"/>
      <c r="AA613" s="489"/>
    </row>
    <row r="614" spans="23:27">
      <c r="W614" s="489"/>
      <c r="X614" s="489"/>
      <c r="Y614" s="489"/>
      <c r="Z614" s="489"/>
      <c r="AA614" s="489"/>
    </row>
    <row r="615" spans="23:27">
      <c r="W615" s="489"/>
      <c r="X615" s="489"/>
      <c r="Y615" s="489"/>
      <c r="Z615" s="489"/>
      <c r="AA615" s="489"/>
    </row>
    <row r="616" spans="23:27">
      <c r="W616" s="489"/>
      <c r="X616" s="489"/>
      <c r="Y616" s="489"/>
      <c r="Z616" s="489"/>
      <c r="AA616" s="489"/>
    </row>
    <row r="617" spans="23:27">
      <c r="W617" s="489"/>
      <c r="X617" s="489"/>
      <c r="Y617" s="489"/>
      <c r="Z617" s="489"/>
      <c r="AA617" s="489"/>
    </row>
    <row r="618" spans="23:27">
      <c r="W618" s="489"/>
      <c r="X618" s="489"/>
      <c r="Y618" s="489"/>
      <c r="Z618" s="489"/>
      <c r="AA618" s="489"/>
    </row>
    <row r="619" spans="23:27">
      <c r="W619" s="489"/>
      <c r="X619" s="489"/>
      <c r="Y619" s="489"/>
      <c r="Z619" s="489"/>
      <c r="AA619" s="489"/>
    </row>
    <row r="620" spans="23:27">
      <c r="W620" s="489"/>
      <c r="X620" s="489"/>
      <c r="Y620" s="489"/>
      <c r="Z620" s="489"/>
      <c r="AA620" s="489"/>
    </row>
    <row r="621" spans="23:27">
      <c r="W621" s="489"/>
      <c r="X621" s="489"/>
      <c r="Y621" s="489"/>
      <c r="Z621" s="489"/>
      <c r="AA621" s="489"/>
    </row>
    <row r="622" spans="23:27">
      <c r="W622" s="489"/>
      <c r="X622" s="489"/>
      <c r="Y622" s="489"/>
      <c r="Z622" s="489"/>
      <c r="AA622" s="489"/>
    </row>
    <row r="623" spans="23:27">
      <c r="W623" s="489"/>
      <c r="X623" s="489"/>
      <c r="Y623" s="489"/>
      <c r="Z623" s="489"/>
      <c r="AA623" s="489"/>
    </row>
    <row r="624" spans="23:27">
      <c r="W624" s="489"/>
      <c r="X624" s="489"/>
      <c r="Y624" s="489"/>
      <c r="Z624" s="489"/>
      <c r="AA624" s="489"/>
    </row>
    <row r="625" spans="23:27">
      <c r="W625" s="489"/>
      <c r="X625" s="489"/>
      <c r="Y625" s="489"/>
      <c r="Z625" s="489"/>
      <c r="AA625" s="489"/>
    </row>
    <row r="626" spans="23:27">
      <c r="W626" s="489"/>
      <c r="X626" s="489"/>
      <c r="Y626" s="489"/>
      <c r="Z626" s="489"/>
      <c r="AA626" s="489"/>
    </row>
    <row r="627" spans="23:27">
      <c r="W627" s="489"/>
      <c r="X627" s="489"/>
      <c r="Y627" s="489"/>
      <c r="Z627" s="489"/>
      <c r="AA627" s="489"/>
    </row>
    <row r="628" spans="23:27">
      <c r="W628" s="489"/>
      <c r="X628" s="489"/>
      <c r="Y628" s="489"/>
      <c r="Z628" s="489"/>
      <c r="AA628" s="489"/>
    </row>
    <row r="629" spans="23:27">
      <c r="W629" s="489"/>
      <c r="X629" s="489"/>
      <c r="Y629" s="489"/>
      <c r="Z629" s="489"/>
      <c r="AA629" s="489"/>
    </row>
    <row r="630" spans="23:27">
      <c r="W630" s="489"/>
      <c r="X630" s="489"/>
      <c r="Y630" s="489"/>
      <c r="Z630" s="489"/>
      <c r="AA630" s="489"/>
    </row>
    <row r="631" spans="23:27">
      <c r="W631" s="489"/>
      <c r="X631" s="489"/>
      <c r="Y631" s="489"/>
      <c r="Z631" s="489"/>
      <c r="AA631" s="489"/>
    </row>
    <row r="632" spans="23:27">
      <c r="W632" s="489"/>
      <c r="X632" s="489"/>
      <c r="Y632" s="489"/>
      <c r="Z632" s="489"/>
      <c r="AA632" s="489"/>
    </row>
    <row r="633" spans="23:27">
      <c r="W633" s="489"/>
      <c r="X633" s="489"/>
      <c r="Y633" s="489"/>
      <c r="Z633" s="489"/>
      <c r="AA633" s="489"/>
    </row>
    <row r="634" spans="23:27">
      <c r="W634" s="489"/>
      <c r="X634" s="489"/>
      <c r="Y634" s="489"/>
      <c r="Z634" s="489"/>
      <c r="AA634" s="489"/>
    </row>
    <row r="635" spans="23:27">
      <c r="W635" s="489"/>
      <c r="X635" s="489"/>
      <c r="Y635" s="489"/>
      <c r="Z635" s="489"/>
      <c r="AA635" s="489"/>
    </row>
    <row r="636" spans="23:27">
      <c r="W636" s="489"/>
      <c r="X636" s="489"/>
      <c r="Y636" s="489"/>
      <c r="Z636" s="489"/>
      <c r="AA636" s="489"/>
    </row>
    <row r="637" spans="23:27">
      <c r="W637" s="489"/>
      <c r="X637" s="489"/>
      <c r="Y637" s="489"/>
      <c r="Z637" s="489"/>
      <c r="AA637" s="489"/>
    </row>
    <row r="638" spans="23:27">
      <c r="W638" s="489"/>
      <c r="X638" s="489"/>
      <c r="Y638" s="489"/>
      <c r="Z638" s="489"/>
      <c r="AA638" s="489"/>
    </row>
    <row r="639" spans="23:27">
      <c r="W639" s="489"/>
      <c r="X639" s="489"/>
      <c r="Y639" s="489"/>
      <c r="Z639" s="489"/>
      <c r="AA639" s="489"/>
    </row>
    <row r="640" spans="23:27">
      <c r="W640" s="489"/>
      <c r="X640" s="489"/>
      <c r="Y640" s="489"/>
      <c r="Z640" s="489"/>
      <c r="AA640" s="489"/>
    </row>
    <row r="641" spans="23:27">
      <c r="W641" s="489"/>
      <c r="X641" s="489"/>
      <c r="Y641" s="489"/>
      <c r="Z641" s="489"/>
      <c r="AA641" s="489"/>
    </row>
    <row r="642" spans="23:27">
      <c r="W642" s="489"/>
      <c r="X642" s="489"/>
      <c r="Y642" s="489"/>
      <c r="Z642" s="489"/>
      <c r="AA642" s="489"/>
    </row>
    <row r="643" spans="23:27">
      <c r="W643" s="489"/>
      <c r="X643" s="489"/>
      <c r="Y643" s="489"/>
      <c r="Z643" s="489"/>
      <c r="AA643" s="489"/>
    </row>
    <row r="644" spans="23:27">
      <c r="W644" s="489"/>
      <c r="X644" s="489"/>
      <c r="Y644" s="489"/>
      <c r="Z644" s="489"/>
      <c r="AA644" s="489"/>
    </row>
    <row r="645" spans="23:27">
      <c r="W645" s="489"/>
      <c r="X645" s="489"/>
      <c r="Y645" s="489"/>
      <c r="Z645" s="489"/>
      <c r="AA645" s="489"/>
    </row>
    <row r="646" spans="23:27">
      <c r="W646" s="489"/>
      <c r="X646" s="489"/>
      <c r="Y646" s="489"/>
      <c r="Z646" s="489"/>
      <c r="AA646" s="489"/>
    </row>
    <row r="647" spans="23:27">
      <c r="W647" s="489"/>
      <c r="X647" s="489"/>
      <c r="Y647" s="489"/>
      <c r="Z647" s="489"/>
      <c r="AA647" s="489"/>
    </row>
    <row r="648" spans="23:27">
      <c r="W648" s="489"/>
      <c r="X648" s="489"/>
      <c r="Y648" s="489"/>
      <c r="Z648" s="489"/>
      <c r="AA648" s="489"/>
    </row>
    <row r="649" spans="23:27">
      <c r="W649" s="489"/>
      <c r="X649" s="489"/>
      <c r="Y649" s="489"/>
      <c r="Z649" s="489"/>
      <c r="AA649" s="489"/>
    </row>
    <row r="650" spans="23:27">
      <c r="W650" s="489"/>
      <c r="X650" s="489"/>
      <c r="Y650" s="489"/>
      <c r="Z650" s="489"/>
      <c r="AA650" s="489"/>
    </row>
    <row r="651" spans="23:27">
      <c r="W651" s="489"/>
      <c r="X651" s="489"/>
      <c r="Y651" s="489"/>
      <c r="Z651" s="489"/>
      <c r="AA651" s="489"/>
    </row>
    <row r="652" spans="23:27">
      <c r="W652" s="489"/>
      <c r="X652" s="489"/>
      <c r="Y652" s="489"/>
      <c r="Z652" s="489"/>
      <c r="AA652" s="489"/>
    </row>
    <row r="653" spans="23:27">
      <c r="W653" s="489"/>
      <c r="X653" s="489"/>
      <c r="Y653" s="489"/>
      <c r="Z653" s="489"/>
      <c r="AA653" s="489"/>
    </row>
    <row r="654" spans="23:27">
      <c r="W654" s="489"/>
      <c r="X654" s="489"/>
      <c r="Y654" s="489"/>
      <c r="Z654" s="489"/>
      <c r="AA654" s="489"/>
    </row>
    <row r="655" spans="23:27">
      <c r="W655" s="489"/>
      <c r="X655" s="489"/>
      <c r="Y655" s="489"/>
      <c r="Z655" s="489"/>
      <c r="AA655" s="489"/>
    </row>
    <row r="656" spans="23:27">
      <c r="W656" s="489"/>
      <c r="X656" s="489"/>
      <c r="Y656" s="489"/>
      <c r="Z656" s="489"/>
      <c r="AA656" s="489"/>
    </row>
  </sheetData>
  <mergeCells count="4">
    <mergeCell ref="A18:AB18"/>
    <mergeCell ref="F80:F84"/>
    <mergeCell ref="L597:W597"/>
    <mergeCell ref="L603:W603"/>
  </mergeCells>
  <pageMargins left="0" right="0" top="0" bottom="0.31496062992125984" header="0" footer="0.15748031496062992"/>
  <pageSetup paperSize="9" scale="50" fitToHeight="0" orientation="portrait" r:id="rId1"/>
  <headerFooter alignWithMargins="0">
    <oddFooter>&amp;R&amp;P / &amp;N</oddFooter>
  </headerFooter>
  <colBreaks count="1" manualBreakCount="1">
    <brk id="28" max="60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4D34-2F98-4B14-82DD-D7C07FFC9CD6}">
  <sheetPr>
    <pageSetUpPr fitToPage="1"/>
  </sheetPr>
  <dimension ref="A1:G50"/>
  <sheetViews>
    <sheetView showGridLines="0" workbookViewId="0">
      <selection activeCell="I13" sqref="I13"/>
    </sheetView>
  </sheetViews>
  <sheetFormatPr defaultColWidth="10" defaultRowHeight="12.75" outlineLevelRow="1" outlineLevelCol="1"/>
  <cols>
    <col min="1" max="1" width="37" style="35" customWidth="1"/>
    <col min="2" max="2" width="21.28515625" style="35" hidden="1" customWidth="1" outlineLevel="1"/>
    <col min="3" max="3" width="21.28515625" style="35" customWidth="1" collapsed="1"/>
    <col min="4" max="4" width="21.28515625" style="35" customWidth="1"/>
    <col min="5" max="6" width="21.28515625" style="35" customWidth="1" outlineLevel="1"/>
    <col min="7" max="7" width="12.42578125" style="35" bestFit="1" customWidth="1"/>
    <col min="8" max="9" width="10" style="35"/>
    <col min="10" max="10" width="19.85546875" style="35" bestFit="1" customWidth="1"/>
    <col min="11" max="16384" width="10" style="35"/>
  </cols>
  <sheetData>
    <row r="1" spans="1:6" s="36" customFormat="1" ht="21.6" customHeight="1">
      <c r="A1" s="36" t="s">
        <v>2836</v>
      </c>
    </row>
    <row r="2" spans="1:6" s="36" customFormat="1" ht="21.6" customHeight="1"/>
    <row r="3" spans="1:6" s="37" customFormat="1" ht="21.6" customHeight="1">
      <c r="A3" s="668" t="s">
        <v>1438</v>
      </c>
      <c r="B3" s="668"/>
      <c r="C3" s="668"/>
      <c r="D3" s="668"/>
      <c r="E3" s="668"/>
      <c r="F3" s="668"/>
    </row>
    <row r="4" spans="1:6" s="36" customFormat="1" ht="24" customHeight="1">
      <c r="A4" s="38"/>
      <c r="B4" s="38"/>
      <c r="C4" s="38"/>
      <c r="D4" s="38"/>
      <c r="E4" s="38"/>
      <c r="F4" s="38"/>
    </row>
    <row r="5" spans="1:6" s="36" customFormat="1" ht="15" customHeight="1">
      <c r="A5" s="669" t="s">
        <v>2838</v>
      </c>
      <c r="B5" s="46" t="s">
        <v>2840</v>
      </c>
      <c r="C5" s="46" t="s">
        <v>4020</v>
      </c>
      <c r="D5" s="46" t="s">
        <v>2841</v>
      </c>
      <c r="E5" s="46" t="s">
        <v>2841</v>
      </c>
      <c r="F5" s="46" t="s">
        <v>2841</v>
      </c>
    </row>
    <row r="6" spans="1:6" s="36" customFormat="1" ht="15" customHeight="1">
      <c r="A6" s="670"/>
      <c r="B6" s="287">
        <f>'CE statale pluri'!H8</f>
        <v>2018</v>
      </c>
      <c r="C6" s="287">
        <f>'CE statale pluri'!I8</f>
        <v>2019</v>
      </c>
      <c r="D6" s="287">
        <f>'CE statale pluri'!J8</f>
        <v>2020</v>
      </c>
      <c r="E6" s="287">
        <f>'CE statale pluri'!K8</f>
        <v>2021</v>
      </c>
      <c r="F6" s="287">
        <f>'CE statale pluri'!L8</f>
        <v>2022</v>
      </c>
    </row>
    <row r="7" spans="1:6" s="36" customFormat="1" ht="29.45" customHeight="1">
      <c r="A7" s="39" t="s">
        <v>1844</v>
      </c>
      <c r="B7" s="40">
        <f>SUM('pdc2019'!N1092)</f>
        <v>1326260724.0400002</v>
      </c>
      <c r="C7" s="40">
        <f>SUM('pdc2019'!P1092)</f>
        <v>1355209654.1400001</v>
      </c>
      <c r="D7" s="40">
        <f>SUM('pdc2019'!Q1092)</f>
        <v>1390580542.5699999</v>
      </c>
      <c r="E7" s="40">
        <f>SUM('pdc2019'!R1092)</f>
        <v>1425808500</v>
      </c>
      <c r="F7" s="40">
        <f>SUM('pdc2019'!S1092)</f>
        <v>1454698497.76</v>
      </c>
    </row>
    <row r="8" spans="1:6" s="36" customFormat="1" ht="29.45" customHeight="1">
      <c r="A8" s="41" t="s">
        <v>1846</v>
      </c>
      <c r="B8" s="42">
        <f>SUM('CE statale pluri'!H104)</f>
        <v>4731051.8200000012</v>
      </c>
      <c r="C8" s="42">
        <f>SUM('CE statale pluri'!I104)</f>
        <v>680154.14</v>
      </c>
      <c r="D8" s="42">
        <f>SUM('CE statale pluri'!J104)</f>
        <v>152500</v>
      </c>
      <c r="E8" s="42">
        <f>SUM('CE statale pluri'!K104)</f>
        <v>152500</v>
      </c>
      <c r="F8" s="42">
        <f>SUM('CE statale pluri'!L104)</f>
        <v>152500</v>
      </c>
    </row>
    <row r="9" spans="1:6" s="36" customFormat="1" ht="29.45" customHeight="1">
      <c r="A9" s="39" t="s">
        <v>1848</v>
      </c>
      <c r="B9" s="43">
        <f>B10+B11+B12+B13+B14+B15+B16+B17</f>
        <v>1343881747.6500003</v>
      </c>
      <c r="C9" s="43">
        <f t="shared" ref="C9:D9" si="0">C10+C11+C12+C13+C14+C15+C16+C17</f>
        <v>1376901214.5800002</v>
      </c>
      <c r="D9" s="43">
        <f t="shared" si="0"/>
        <v>1390580542.5699999</v>
      </c>
      <c r="E9" s="43">
        <f>E10+E11+E12+E13+E14+E15+E16</f>
        <v>1425808500</v>
      </c>
      <c r="F9" s="43">
        <f>F10+F11+F12+F13+F14+F15+F16</f>
        <v>1454698497.76</v>
      </c>
    </row>
    <row r="10" spans="1:6" s="36" customFormat="1" ht="29.45" customHeight="1">
      <c r="A10" s="44" t="s">
        <v>1850</v>
      </c>
      <c r="B10" s="352">
        <v>0</v>
      </c>
      <c r="C10" s="352">
        <v>0</v>
      </c>
      <c r="D10" s="352">
        <v>0</v>
      </c>
      <c r="E10" s="352">
        <v>0</v>
      </c>
      <c r="F10" s="352">
        <v>0</v>
      </c>
    </row>
    <row r="11" spans="1:6" s="36" customFormat="1" ht="29.45" customHeight="1">
      <c r="A11" s="44" t="s">
        <v>1852</v>
      </c>
      <c r="B11" s="42">
        <f>SUM('CE statale pluri'!H26,'CE statale pluri'!H27,'CE statale pluri'!H31,'CE statale pluri'!H32,'CE statale pluri'!H34,'CE statale pluri'!H35-'Allegato 1) dbase'!E39)</f>
        <v>110047956.23999999</v>
      </c>
      <c r="C11" s="42">
        <f>SUM('CE statale pluri'!I26,'CE statale pluri'!I27,'CE statale pluri'!I31,'CE statale pluri'!I32,'CE statale pluri'!I34,'CE statale pluri'!I35-'Allegato 1) dbase'!F39)</f>
        <v>105913600</v>
      </c>
      <c r="D11" s="42">
        <f>SUM('CE statale pluri'!J26,'CE statale pluri'!J27,'CE statale pluri'!J31,'CE statale pluri'!J32,'CE statale pluri'!J34,'CE statale pluri'!J35-'Allegato 1) dbase'!G39)</f>
        <v>107386600</v>
      </c>
      <c r="E11" s="42">
        <f>SUM('CE statale pluri'!K26,'CE statale pluri'!K27,'CE statale pluri'!K31,'CE statale pluri'!K32,'CE statale pluri'!K34,'CE statale pluri'!K35-'Allegato 1) dbase'!H39)</f>
        <v>107386600</v>
      </c>
      <c r="F11" s="42">
        <f>SUM('CE statale pluri'!L26,'CE statale pluri'!L27,'CE statale pluri'!L31,'CE statale pluri'!L32,'CE statale pluri'!L34,'CE statale pluri'!L35-'Allegato 1) dbase'!I39)</f>
        <v>107386600</v>
      </c>
    </row>
    <row r="12" spans="1:6" s="36" customFormat="1" ht="29.45" customHeight="1">
      <c r="A12" s="44" t="s">
        <v>1854</v>
      </c>
      <c r="B12" s="42">
        <f>'CE statale pluri'!H91</f>
        <v>19419.93</v>
      </c>
      <c r="C12" s="42">
        <f>'CE statale pluri'!I91</f>
        <v>15032.77</v>
      </c>
      <c r="D12" s="42">
        <f>'CE statale pluri'!J91</f>
        <v>15000</v>
      </c>
      <c r="E12" s="42">
        <f>SUM('CE statale pluri'!K91,'CE statale pluri'!K96,-'CE statale pluri'!K97)</f>
        <v>15000</v>
      </c>
      <c r="F12" s="42">
        <f>SUM('CE statale pluri'!L91,'CE statale pluri'!L96,-'CE statale pluri'!L97)</f>
        <v>15000</v>
      </c>
    </row>
    <row r="13" spans="1:6" s="36" customFormat="1" ht="29.45" customHeight="1">
      <c r="A13" s="44" t="s">
        <v>1856</v>
      </c>
      <c r="B13" s="42">
        <f>SUM('CE statale pluri'!H10+'CE statale pluri'!H25)</f>
        <v>1197307961.1700003</v>
      </c>
      <c r="C13" s="42">
        <f>SUM('CE statale pluri'!I10+'CE statale pluri'!I25)</f>
        <v>1238103106.9300001</v>
      </c>
      <c r="D13" s="42">
        <f>SUM('CE statale pluri'!J10+'CE statale pluri'!J25)</f>
        <v>1252767942.5699999</v>
      </c>
      <c r="E13" s="42">
        <f>SUM('CE statale pluri'!K10+'CE statale pluri'!K25)</f>
        <v>1287995900</v>
      </c>
      <c r="F13" s="42">
        <f>SUM('CE statale pluri'!L10+'CE statale pluri'!L25)</f>
        <v>1316885897.76</v>
      </c>
    </row>
    <row r="14" spans="1:6" s="36" customFormat="1" ht="29.45" customHeight="1">
      <c r="A14" s="44" t="s">
        <v>1858</v>
      </c>
      <c r="B14" s="42">
        <f>SUM('CE statale pluri'!H33)</f>
        <v>25402235.600000001</v>
      </c>
      <c r="C14" s="42">
        <f>SUM('CE statale pluri'!I33)</f>
        <v>25401000</v>
      </c>
      <c r="D14" s="42">
        <f>SUM('CE statale pluri'!J33)</f>
        <v>25401000</v>
      </c>
      <c r="E14" s="42">
        <f>SUM('CE statale pluri'!K33)</f>
        <v>25401000</v>
      </c>
      <c r="F14" s="42">
        <f>SUM('CE statale pluri'!L33)</f>
        <v>25401000</v>
      </c>
    </row>
    <row r="15" spans="1:6" s="36" customFormat="1" ht="29.45" customHeight="1">
      <c r="A15" s="44" t="s">
        <v>1860</v>
      </c>
      <c r="B15" s="42">
        <f>SUM('Allegato 1) dbase'!E39)</f>
        <v>0</v>
      </c>
      <c r="C15" s="42">
        <f>SUM('Allegato 1) dbase'!F39)</f>
        <v>0</v>
      </c>
      <c r="D15" s="42">
        <f>SUM('Allegato 1) dbase'!G39)</f>
        <v>0</v>
      </c>
      <c r="E15" s="42">
        <f>SUM('Allegato 1) dbase'!H39)</f>
        <v>0</v>
      </c>
      <c r="F15" s="42">
        <f>SUM('Allegato 1) dbase'!I39)</f>
        <v>0</v>
      </c>
    </row>
    <row r="16" spans="1:6" s="36" customFormat="1" ht="29.45" customHeight="1">
      <c r="A16" s="44" t="s">
        <v>1862</v>
      </c>
      <c r="B16" s="42">
        <f>SUM('CE statale pluri'!H101)</f>
        <v>11097671.699999999</v>
      </c>
      <c r="C16" s="42">
        <f>SUM('CE statale pluri'!I101)</f>
        <v>7468474.8800000008</v>
      </c>
      <c r="D16" s="42">
        <f>SUM('CE statale pluri'!J101)</f>
        <v>5010000</v>
      </c>
      <c r="E16" s="42">
        <f>SUM('CE statale pluri'!K101)</f>
        <v>5010000</v>
      </c>
      <c r="F16" s="42">
        <f>SUM('CE statale pluri'!L101)</f>
        <v>5010000</v>
      </c>
    </row>
    <row r="17" spans="1:7" s="36" customFormat="1" ht="29.45" customHeight="1">
      <c r="A17" s="205" t="s">
        <v>4644</v>
      </c>
      <c r="B17" s="42">
        <f>'CE statale pluri'!H96</f>
        <v>6503.01</v>
      </c>
      <c r="C17" s="42">
        <f>'CE statale pluri'!I96</f>
        <v>0</v>
      </c>
      <c r="D17" s="42">
        <f>'CE statale pluri'!J96</f>
        <v>0</v>
      </c>
      <c r="E17" s="206"/>
      <c r="F17" s="206"/>
    </row>
    <row r="18" spans="1:7" s="36" customFormat="1" ht="29.45" customHeight="1">
      <c r="A18" s="207" t="s">
        <v>670</v>
      </c>
      <c r="B18" s="208">
        <f>B9-B7</f>
        <v>17621023.610000134</v>
      </c>
      <c r="C18" s="208">
        <f>C9-C7</f>
        <v>21691560.440000057</v>
      </c>
      <c r="D18" s="208">
        <f>D9-D7</f>
        <v>0</v>
      </c>
      <c r="E18" s="208">
        <f>E9-E7</f>
        <v>0</v>
      </c>
      <c r="F18" s="208">
        <f>F9-F7</f>
        <v>0</v>
      </c>
      <c r="G18" s="285"/>
    </row>
    <row r="19" spans="1:7" s="36" customFormat="1" ht="29.45" hidden="1" customHeight="1" outlineLevel="1">
      <c r="A19" s="666" t="s">
        <v>672</v>
      </c>
      <c r="B19" s="667"/>
      <c r="C19" s="667"/>
      <c r="D19" s="667"/>
      <c r="E19" s="667"/>
      <c r="F19" s="667"/>
    </row>
    <row r="20" spans="1:7" s="36" customFormat="1" ht="29.45" hidden="1" customHeight="1" outlineLevel="1">
      <c r="A20" s="39" t="s">
        <v>673</v>
      </c>
      <c r="B20" s="43">
        <f>SUM(B10)*-1</f>
        <v>0</v>
      </c>
      <c r="C20" s="43">
        <f>SUM(C10)*-1</f>
        <v>0</v>
      </c>
      <c r="D20" s="43">
        <f>SUM(D10)*-1</f>
        <v>0</v>
      </c>
      <c r="E20" s="43">
        <f>SUM(E10)*-1</f>
        <v>0</v>
      </c>
      <c r="F20" s="43">
        <f>SUM(F10)*-1</f>
        <v>0</v>
      </c>
    </row>
    <row r="21" spans="1:7" s="36" customFormat="1" ht="29.45" hidden="1" customHeight="1" outlineLevel="1">
      <c r="A21" s="44" t="s">
        <v>675</v>
      </c>
      <c r="B21" s="353" t="e">
        <f>SUM(#REF!,B20)</f>
        <v>#REF!</v>
      </c>
      <c r="C21" s="353" t="e">
        <f>SUM(#REF!,C20)</f>
        <v>#REF!</v>
      </c>
      <c r="D21" s="353" t="e">
        <f>SUM(#REF!,D20)</f>
        <v>#REF!</v>
      </c>
      <c r="E21" s="353">
        <f>SUM(A23,E20)</f>
        <v>0</v>
      </c>
      <c r="F21" s="353" t="e">
        <f>SUM(E23,F20)</f>
        <v>#VALUE!</v>
      </c>
    </row>
    <row r="22" spans="1:7" hidden="1" outlineLevel="1"/>
    <row r="23" spans="1:7" hidden="1" outlineLevel="1">
      <c r="A23" s="35" t="s">
        <v>676</v>
      </c>
      <c r="B23" s="45" t="e">
        <f>SUM(#REF!-#REF!)</f>
        <v>#REF!</v>
      </c>
      <c r="C23" s="45" t="e">
        <f>SUM(#REF!-#REF!)</f>
        <v>#REF!</v>
      </c>
      <c r="D23" s="45" t="e">
        <f>SUM(#REF!-#REF!)</f>
        <v>#REF!</v>
      </c>
      <c r="E23" s="45" t="e">
        <f>SUM(A23-A10)</f>
        <v>#VALUE!</v>
      </c>
      <c r="F23" s="45" t="e">
        <f>SUM(E23-E10)</f>
        <v>#VALUE!</v>
      </c>
    </row>
    <row r="24" spans="1:7" collapsed="1">
      <c r="B24" s="45"/>
      <c r="C24" s="45"/>
      <c r="D24" s="45"/>
      <c r="E24" s="45"/>
      <c r="F24" s="45"/>
    </row>
    <row r="29" spans="1:7" s="36" customFormat="1" ht="21.6" customHeight="1">
      <c r="A29" s="36" t="s">
        <v>2837</v>
      </c>
    </row>
    <row r="30" spans="1:7" s="36" customFormat="1" ht="21.6" customHeight="1"/>
    <row r="31" spans="1:7" s="37" customFormat="1" ht="21.6" customHeight="1">
      <c r="A31" s="668" t="s">
        <v>1439</v>
      </c>
      <c r="B31" s="668"/>
      <c r="C31" s="668"/>
      <c r="D31" s="668"/>
      <c r="E31" s="668"/>
      <c r="F31" s="668"/>
    </row>
    <row r="32" spans="1:7" s="36" customFormat="1" ht="24" customHeight="1">
      <c r="A32" s="38"/>
      <c r="B32" s="38"/>
      <c r="C32" s="38"/>
      <c r="D32" s="38"/>
      <c r="E32" s="38"/>
      <c r="F32" s="38"/>
    </row>
    <row r="33" spans="1:6" s="36" customFormat="1" ht="15" customHeight="1">
      <c r="A33" s="669" t="s">
        <v>1843</v>
      </c>
      <c r="B33" s="46" t="s">
        <v>2842</v>
      </c>
      <c r="C33" s="46" t="s">
        <v>2843</v>
      </c>
      <c r="D33" s="46" t="s">
        <v>2844</v>
      </c>
      <c r="E33" s="46" t="s">
        <v>2844</v>
      </c>
      <c r="F33" s="46" t="s">
        <v>2844</v>
      </c>
    </row>
    <row r="34" spans="1:6" s="36" customFormat="1" ht="15" customHeight="1">
      <c r="A34" s="670"/>
      <c r="B34" s="321">
        <f t="shared" ref="B34:F44" si="1">B6</f>
        <v>2018</v>
      </c>
      <c r="C34" s="321">
        <f t="shared" si="1"/>
        <v>2019</v>
      </c>
      <c r="D34" s="321">
        <f t="shared" si="1"/>
        <v>2020</v>
      </c>
      <c r="E34" s="321">
        <f t="shared" si="1"/>
        <v>2021</v>
      </c>
      <c r="F34" s="321">
        <f t="shared" si="1"/>
        <v>2022</v>
      </c>
    </row>
    <row r="35" spans="1:6" s="36" customFormat="1" ht="29.45" customHeight="1">
      <c r="A35" s="39" t="s">
        <v>1845</v>
      </c>
      <c r="B35" s="40">
        <f t="shared" si="1"/>
        <v>1326260724.0400002</v>
      </c>
      <c r="C35" s="40">
        <f t="shared" si="1"/>
        <v>1355209654.1400001</v>
      </c>
      <c r="D35" s="40">
        <f t="shared" si="1"/>
        <v>1390580542.5699999</v>
      </c>
      <c r="E35" s="40">
        <f t="shared" si="1"/>
        <v>1425808500</v>
      </c>
      <c r="F35" s="40">
        <f t="shared" si="1"/>
        <v>1454698497.76</v>
      </c>
    </row>
    <row r="36" spans="1:6" s="36" customFormat="1" ht="29.45" customHeight="1">
      <c r="A36" s="41" t="s">
        <v>1847</v>
      </c>
      <c r="B36" s="42">
        <f t="shared" ref="B36:D36" si="2">B8</f>
        <v>4731051.8200000012</v>
      </c>
      <c r="C36" s="42">
        <f t="shared" si="2"/>
        <v>680154.14</v>
      </c>
      <c r="D36" s="42">
        <f t="shared" si="2"/>
        <v>152500</v>
      </c>
      <c r="E36" s="42">
        <f t="shared" si="1"/>
        <v>152500</v>
      </c>
      <c r="F36" s="42">
        <f t="shared" si="1"/>
        <v>152500</v>
      </c>
    </row>
    <row r="37" spans="1:6" s="36" customFormat="1" ht="29.45" customHeight="1">
      <c r="A37" s="39" t="s">
        <v>1849</v>
      </c>
      <c r="B37" s="43">
        <f t="shared" ref="B37:D37" si="3">B9</f>
        <v>1343881747.6500003</v>
      </c>
      <c r="C37" s="43">
        <f t="shared" si="3"/>
        <v>1376901214.5800002</v>
      </c>
      <c r="D37" s="43">
        <f t="shared" si="3"/>
        <v>1390580542.5699999</v>
      </c>
      <c r="E37" s="43">
        <f t="shared" si="1"/>
        <v>1425808500</v>
      </c>
      <c r="F37" s="43">
        <f t="shared" si="1"/>
        <v>1454698497.76</v>
      </c>
    </row>
    <row r="38" spans="1:6" s="36" customFormat="1" ht="29.45" customHeight="1">
      <c r="A38" s="44" t="s">
        <v>1851</v>
      </c>
      <c r="B38" s="352">
        <f t="shared" ref="B38:D38" si="4">B10</f>
        <v>0</v>
      </c>
      <c r="C38" s="352">
        <f t="shared" si="4"/>
        <v>0</v>
      </c>
      <c r="D38" s="352">
        <f t="shared" si="4"/>
        <v>0</v>
      </c>
      <c r="E38" s="352">
        <f t="shared" si="1"/>
        <v>0</v>
      </c>
      <c r="F38" s="352">
        <f t="shared" si="1"/>
        <v>0</v>
      </c>
    </row>
    <row r="39" spans="1:6" s="36" customFormat="1" ht="29.45" customHeight="1">
      <c r="A39" s="44" t="s">
        <v>1853</v>
      </c>
      <c r="B39" s="42">
        <f t="shared" ref="B39:D39" si="5">B11</f>
        <v>110047956.23999999</v>
      </c>
      <c r="C39" s="42">
        <f t="shared" si="5"/>
        <v>105913600</v>
      </c>
      <c r="D39" s="42">
        <f t="shared" si="5"/>
        <v>107386600</v>
      </c>
      <c r="E39" s="42">
        <f t="shared" si="1"/>
        <v>107386600</v>
      </c>
      <c r="F39" s="42">
        <f t="shared" si="1"/>
        <v>107386600</v>
      </c>
    </row>
    <row r="40" spans="1:6" s="36" customFormat="1" ht="29.45" customHeight="1">
      <c r="A40" s="44" t="s">
        <v>1855</v>
      </c>
      <c r="B40" s="42">
        <f t="shared" ref="B40:D40" si="6">B12</f>
        <v>19419.93</v>
      </c>
      <c r="C40" s="42">
        <f t="shared" si="6"/>
        <v>15032.77</v>
      </c>
      <c r="D40" s="42">
        <f t="shared" si="6"/>
        <v>15000</v>
      </c>
      <c r="E40" s="42">
        <f t="shared" si="1"/>
        <v>15000</v>
      </c>
      <c r="F40" s="42">
        <f t="shared" si="1"/>
        <v>15000</v>
      </c>
    </row>
    <row r="41" spans="1:6" s="36" customFormat="1" ht="29.45" customHeight="1">
      <c r="A41" s="44" t="s">
        <v>1857</v>
      </c>
      <c r="B41" s="42">
        <f t="shared" ref="B41:D41" si="7">B13</f>
        <v>1197307961.1700003</v>
      </c>
      <c r="C41" s="42">
        <f t="shared" si="7"/>
        <v>1238103106.9300001</v>
      </c>
      <c r="D41" s="42">
        <f t="shared" si="7"/>
        <v>1252767942.5699999</v>
      </c>
      <c r="E41" s="42">
        <f t="shared" si="1"/>
        <v>1287995900</v>
      </c>
      <c r="F41" s="42">
        <f t="shared" si="1"/>
        <v>1316885897.76</v>
      </c>
    </row>
    <row r="42" spans="1:6" s="36" customFormat="1" ht="29.45" customHeight="1">
      <c r="A42" s="44" t="s">
        <v>1859</v>
      </c>
      <c r="B42" s="42">
        <f t="shared" ref="B42:D42" si="8">B14</f>
        <v>25402235.600000001</v>
      </c>
      <c r="C42" s="42">
        <f t="shared" si="8"/>
        <v>25401000</v>
      </c>
      <c r="D42" s="42">
        <f t="shared" si="8"/>
        <v>25401000</v>
      </c>
      <c r="E42" s="42">
        <f t="shared" si="1"/>
        <v>25401000</v>
      </c>
      <c r="F42" s="42">
        <f t="shared" si="1"/>
        <v>25401000</v>
      </c>
    </row>
    <row r="43" spans="1:6" s="36" customFormat="1" ht="29.45" customHeight="1">
      <c r="A43" s="44" t="s">
        <v>1861</v>
      </c>
      <c r="B43" s="42">
        <f t="shared" ref="B43:D43" si="9">B15</f>
        <v>0</v>
      </c>
      <c r="C43" s="42">
        <f t="shared" si="9"/>
        <v>0</v>
      </c>
      <c r="D43" s="42">
        <f t="shared" si="9"/>
        <v>0</v>
      </c>
      <c r="E43" s="42">
        <f t="shared" si="1"/>
        <v>0</v>
      </c>
      <c r="F43" s="42">
        <f t="shared" si="1"/>
        <v>0</v>
      </c>
    </row>
    <row r="44" spans="1:6" s="36" customFormat="1" ht="29.45" customHeight="1">
      <c r="A44" s="44" t="s">
        <v>1863</v>
      </c>
      <c r="B44" s="42">
        <f t="shared" ref="B44:D44" si="10">B16</f>
        <v>11097671.699999999</v>
      </c>
      <c r="C44" s="42">
        <f t="shared" si="10"/>
        <v>7468474.8800000008</v>
      </c>
      <c r="D44" s="42">
        <f t="shared" si="10"/>
        <v>5010000</v>
      </c>
      <c r="E44" s="42">
        <f t="shared" si="1"/>
        <v>5010000</v>
      </c>
      <c r="F44" s="42">
        <f t="shared" si="1"/>
        <v>5010000</v>
      </c>
    </row>
    <row r="45" spans="1:6" s="36" customFormat="1" ht="29.45" customHeight="1">
      <c r="A45" s="44" t="s">
        <v>4645</v>
      </c>
      <c r="B45" s="42">
        <f t="shared" ref="B45:D45" si="11">B17</f>
        <v>6503.01</v>
      </c>
      <c r="C45" s="42">
        <f t="shared" si="11"/>
        <v>0</v>
      </c>
      <c r="D45" s="42">
        <f t="shared" si="11"/>
        <v>0</v>
      </c>
      <c r="E45" s="42"/>
      <c r="F45" s="42"/>
    </row>
    <row r="46" spans="1:6" s="36" customFormat="1" ht="29.45" customHeight="1">
      <c r="A46" s="207" t="s">
        <v>671</v>
      </c>
      <c r="B46" s="208">
        <f t="shared" ref="B46:D46" si="12">B18</f>
        <v>17621023.610000134</v>
      </c>
      <c r="C46" s="208">
        <f t="shared" si="12"/>
        <v>21691560.440000057</v>
      </c>
      <c r="D46" s="208">
        <f t="shared" si="12"/>
        <v>0</v>
      </c>
      <c r="E46" s="208">
        <f t="shared" ref="E46:F46" si="13">E18</f>
        <v>0</v>
      </c>
      <c r="F46" s="208">
        <f t="shared" si="13"/>
        <v>0</v>
      </c>
    </row>
    <row r="47" spans="1:6" s="36" customFormat="1" ht="29.45" hidden="1" customHeight="1" outlineLevel="1">
      <c r="A47" s="666" t="s">
        <v>2839</v>
      </c>
      <c r="B47" s="667"/>
      <c r="C47" s="667"/>
      <c r="D47" s="667"/>
      <c r="E47" s="667"/>
      <c r="F47" s="667"/>
    </row>
    <row r="48" spans="1:6" s="36" customFormat="1" ht="29.45" hidden="1" customHeight="1" outlineLevel="1">
      <c r="A48" s="39" t="s">
        <v>674</v>
      </c>
      <c r="B48" s="43">
        <f t="shared" ref="B48:F49" si="14">B20</f>
        <v>0</v>
      </c>
      <c r="C48" s="43">
        <f t="shared" si="14"/>
        <v>0</v>
      </c>
      <c r="D48" s="43">
        <f t="shared" si="14"/>
        <v>0</v>
      </c>
      <c r="E48" s="43">
        <f t="shared" si="14"/>
        <v>0</v>
      </c>
      <c r="F48" s="43">
        <f t="shared" si="14"/>
        <v>0</v>
      </c>
    </row>
    <row r="49" spans="1:6" s="36" customFormat="1" ht="29.45" hidden="1" customHeight="1" outlineLevel="1">
      <c r="A49" s="44" t="s">
        <v>3680</v>
      </c>
      <c r="B49" s="353" t="e">
        <f t="shared" si="14"/>
        <v>#REF!</v>
      </c>
      <c r="C49" s="353" t="e">
        <f t="shared" si="14"/>
        <v>#REF!</v>
      </c>
      <c r="D49" s="353" t="e">
        <f t="shared" si="14"/>
        <v>#REF!</v>
      </c>
      <c r="E49" s="353">
        <f t="shared" si="14"/>
        <v>0</v>
      </c>
      <c r="F49" s="353" t="e">
        <f t="shared" si="14"/>
        <v>#VALUE!</v>
      </c>
    </row>
    <row r="50" spans="1:6" collapsed="1"/>
  </sheetData>
  <sheetProtection selectLockedCells="1" selectUnlockedCells="1"/>
  <mergeCells count="6">
    <mergeCell ref="A47:F47"/>
    <mergeCell ref="A3:F3"/>
    <mergeCell ref="A5:A6"/>
    <mergeCell ref="A19:F19"/>
    <mergeCell ref="A31:F31"/>
    <mergeCell ref="A33:A34"/>
  </mergeCells>
  <printOptions horizontalCentered="1"/>
  <pageMargins left="0.6694444444444444" right="0.4201388888888889" top="0.79027777777777775" bottom="0.79027777777777775" header="0.51180555555555551" footer="0.51180555555555551"/>
  <pageSetup paperSize="9" scale="79" firstPageNumber="0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DC347-4A9E-4C76-A1B6-470EFDC3720F}">
  <sheetPr>
    <pageSetUpPr fitToPage="1"/>
  </sheetPr>
  <dimension ref="A1:K43"/>
  <sheetViews>
    <sheetView view="pageBreakPreview" zoomScaleNormal="95" zoomScaleSheetLayoutView="100" workbookViewId="0">
      <pane xSplit="4" ySplit="7" topLeftCell="E8" activePane="bottomRight" state="frozen"/>
      <selection activeCell="C24" sqref="C24"/>
      <selection pane="topRight" activeCell="C24" sqref="C24"/>
      <selection pane="bottomLeft" activeCell="C24" sqref="C24"/>
      <selection pane="bottomRight" activeCell="I10" sqref="I10"/>
    </sheetView>
  </sheetViews>
  <sheetFormatPr defaultColWidth="9.140625" defaultRowHeight="10.5" outlineLevelCol="1"/>
  <cols>
    <col min="1" max="1" width="43.7109375" style="10" hidden="1" customWidth="1" outlineLevel="1"/>
    <col min="2" max="2" width="35" style="10" hidden="1" customWidth="1" outlineLevel="1"/>
    <col min="3" max="3" width="49.7109375" style="11" customWidth="1" collapsed="1"/>
    <col min="4" max="4" width="40.42578125" style="11" customWidth="1"/>
    <col min="5" max="5" width="19" style="10" customWidth="1"/>
    <col min="6" max="6" width="18.7109375" style="10" customWidth="1" collapsed="1"/>
    <col min="7" max="9" width="18.42578125" style="10" customWidth="1"/>
    <col min="10" max="10" width="14.140625" style="10" customWidth="1"/>
    <col min="11" max="11" width="15" style="10" customWidth="1"/>
    <col min="12" max="16384" width="9.140625" style="10"/>
  </cols>
  <sheetData>
    <row r="1" spans="1:11" s="12" customFormat="1" ht="17.45" customHeight="1">
      <c r="C1" s="13" t="s">
        <v>1438</v>
      </c>
      <c r="D1" s="14"/>
      <c r="E1" s="16"/>
      <c r="F1" s="16"/>
      <c r="G1" s="16"/>
      <c r="H1" s="16"/>
      <c r="I1" s="16"/>
      <c r="J1" s="16"/>
      <c r="K1" s="15" t="s">
        <v>1439</v>
      </c>
    </row>
    <row r="2" spans="1:11" s="12" customFormat="1" ht="15">
      <c r="C2" s="17" t="str">
        <f>CONCATENATE("Voranschlag der Gewinn- und Verlustrechnung " &amp; G7 &amp; " nach Aggregaten")</f>
        <v>Voranschlag der Gewinn- und Verlustrechnung 2020 nach Aggregaten</v>
      </c>
      <c r="D2" s="18"/>
      <c r="E2" s="16"/>
      <c r="F2" s="16"/>
      <c r="G2" s="16"/>
      <c r="H2" s="16"/>
      <c r="I2" s="16"/>
      <c r="J2" s="16"/>
      <c r="K2" s="15" t="str">
        <f>CONCATENATE("Conto Economico Preventivo "&amp;G7&amp;" per aggregati ")</f>
        <v xml:space="preserve">Conto Economico Preventivo 2020 per aggregati </v>
      </c>
    </row>
    <row r="3" spans="1:11" s="12" customFormat="1" ht="15">
      <c r="C3" s="12" t="s">
        <v>2250</v>
      </c>
      <c r="D3" s="18"/>
      <c r="E3" s="16"/>
      <c r="F3" s="16"/>
      <c r="G3" s="16"/>
      <c r="H3" s="16"/>
      <c r="I3" s="16"/>
      <c r="J3" s="16"/>
      <c r="K3" s="19" t="s">
        <v>931</v>
      </c>
    </row>
    <row r="4" spans="1:11" ht="13.9" customHeight="1"/>
    <row r="5" spans="1:11" s="9" customFormat="1" ht="22.5" customHeight="1">
      <c r="A5" s="671" t="s">
        <v>3179</v>
      </c>
      <c r="B5" s="20"/>
      <c r="C5" s="672" t="s">
        <v>932</v>
      </c>
      <c r="D5" s="672" t="s">
        <v>933</v>
      </c>
      <c r="E5" s="673" t="s">
        <v>934</v>
      </c>
      <c r="F5" s="673"/>
      <c r="G5" s="673"/>
      <c r="H5" s="673"/>
      <c r="I5" s="673"/>
      <c r="J5" s="673"/>
      <c r="K5" s="673"/>
    </row>
    <row r="6" spans="1:11" s="21" customFormat="1" ht="61.15" customHeight="1">
      <c r="A6" s="671"/>
      <c r="B6" s="8"/>
      <c r="C6" s="672"/>
      <c r="D6" s="672"/>
      <c r="E6" s="201" t="str">
        <f>'pdc2019'!N2</f>
        <v xml:space="preserve">Abschluss / Consuntivo </v>
      </c>
      <c r="F6" s="201" t="str">
        <f>'pdc2019'!P2</f>
        <v xml:space="preserve">Vorabschluss/ Preconsuntivo </v>
      </c>
      <c r="G6" s="201" t="str">
        <f>'pdc2019'!Q2</f>
        <v xml:space="preserve">Voranschlag / Preventivo </v>
      </c>
      <c r="H6" s="201" t="str">
        <f>'pdc2019'!R2</f>
        <v xml:space="preserve">Voranschlag / Preventivo </v>
      </c>
      <c r="I6" s="201" t="str">
        <f>'pdc2019'!S2</f>
        <v xml:space="preserve">Voranschlag / Preventivo </v>
      </c>
      <c r="J6" s="320" t="str">
        <f>CONCATENATE("Delta %       ",E6,G6)</f>
        <v xml:space="preserve">Delta %       Abschluss / Consuntivo Voranschlag / Preventivo </v>
      </c>
      <c r="K6" s="320" t="str">
        <f>CONCATENATE("Delta %       ",F6,G6)</f>
        <v xml:space="preserve">Delta %       Vorabschluss/ Preconsuntivo Voranschlag / Preventivo </v>
      </c>
    </row>
    <row r="7" spans="1:11" s="23" customFormat="1">
      <c r="A7" s="22"/>
      <c r="B7" s="22"/>
      <c r="C7" s="202"/>
      <c r="D7" s="203"/>
      <c r="E7" s="204">
        <f>'pdc2019'!N3</f>
        <v>2018</v>
      </c>
      <c r="F7" s="204">
        <f>'pdc2019'!P3</f>
        <v>2019</v>
      </c>
      <c r="G7" s="204">
        <f>'pdc2019'!Q3</f>
        <v>2020</v>
      </c>
      <c r="H7" s="204">
        <f>'pdc2019'!R3</f>
        <v>2021</v>
      </c>
      <c r="I7" s="204">
        <f>'pdc2019'!S3</f>
        <v>2022</v>
      </c>
      <c r="J7" s="354" t="str">
        <f>E7&amp;" - "&amp;G7</f>
        <v>2018 - 2020</v>
      </c>
      <c r="K7" s="354" t="str">
        <f>F7&amp;" - "&amp;G7</f>
        <v>2019 - 2020</v>
      </c>
    </row>
    <row r="8" spans="1:11" ht="18" customHeight="1">
      <c r="A8" s="3" t="s">
        <v>2509</v>
      </c>
      <c r="B8" s="1"/>
      <c r="C8" s="24" t="s">
        <v>935</v>
      </c>
      <c r="D8" s="25" t="s">
        <v>936</v>
      </c>
      <c r="E8" s="355">
        <f>SUMIF('pdc2019'!$L$8:$L$1159,'Allegato 1) dbase'!$A8,'pdc2019'!N$8:N$1159)</f>
        <v>0</v>
      </c>
      <c r="F8" s="355">
        <f>SUMIF('pdc2019'!$L$8:$L$1159,'Allegato 1) dbase'!$A8,'pdc2019'!P$8:P$1159)</f>
        <v>0</v>
      </c>
      <c r="G8" s="355">
        <f>SUMIF('pdc2019'!$L$8:$L$1159,'Allegato 1) dbase'!$A8,'pdc2019'!Q$8:Q$1159)</f>
        <v>0</v>
      </c>
      <c r="H8" s="355">
        <f>SUMIF('pdc2019'!$L$8:$L$1159,'Allegato 1) dbase'!$A8,'pdc2019'!R$8:R$1159)</f>
        <v>0</v>
      </c>
      <c r="I8" s="355">
        <f>SUMIF('pdc2019'!$L$8:$L$1159,'Allegato 1) dbase'!$A8,'pdc2019'!S$8:S$1159)</f>
        <v>0</v>
      </c>
      <c r="J8" s="356" t="str">
        <f t="shared" ref="J8:J43" si="0">IF(E8=0," ",(G8-E8)/E8)</f>
        <v xml:space="preserve"> </v>
      </c>
      <c r="K8" s="356" t="str">
        <f>IF(F8=0," ",(G8-F8)/F8)</f>
        <v xml:space="preserve"> </v>
      </c>
    </row>
    <row r="9" spans="1:11" ht="18" customHeight="1">
      <c r="A9" s="3" t="s">
        <v>3109</v>
      </c>
      <c r="B9" s="1"/>
      <c r="C9" s="24" t="s">
        <v>937</v>
      </c>
      <c r="D9" s="25" t="s">
        <v>938</v>
      </c>
      <c r="E9" s="355">
        <f>SUMIF('pdc2019'!$L$8:$L$1159,'Allegato 1) dbase'!$A9,'pdc2019'!N$8:N$1159)</f>
        <v>0</v>
      </c>
      <c r="F9" s="355">
        <f>SUMIF('pdc2019'!$L$8:$L$1159,'Allegato 1) dbase'!$A9,'pdc2019'!P$8:P$1159)</f>
        <v>0</v>
      </c>
      <c r="G9" s="355">
        <f>SUMIF('pdc2019'!$L$8:$L$1159,'Allegato 1) dbase'!$A9,'pdc2019'!Q$8:Q$1159)</f>
        <v>0</v>
      </c>
      <c r="H9" s="355">
        <f>SUMIF('pdc2019'!$L$8:$L$1159,'Allegato 1) dbase'!$A9,'pdc2019'!R$8:R$1159)</f>
        <v>0</v>
      </c>
      <c r="I9" s="355">
        <f>SUMIF('pdc2019'!$L$8:$L$1159,'Allegato 1) dbase'!$A9,'pdc2019'!S$8:S$1159)</f>
        <v>0</v>
      </c>
      <c r="J9" s="357" t="str">
        <f t="shared" si="0"/>
        <v xml:space="preserve"> </v>
      </c>
      <c r="K9" s="356" t="str">
        <f t="shared" ref="K9:K43" si="1">IF(F9=0," ",(G9-F9)/F9)</f>
        <v xml:space="preserve"> </v>
      </c>
    </row>
    <row r="10" spans="1:11" ht="18" customHeight="1">
      <c r="A10" s="3" t="s">
        <v>1950</v>
      </c>
      <c r="B10" s="1"/>
      <c r="C10" s="24" t="s">
        <v>939</v>
      </c>
      <c r="D10" s="25" t="s">
        <v>940</v>
      </c>
      <c r="E10" s="355">
        <f>SUMIF('pdc2019'!$L$8:$L$1159,'Allegato 1) dbase'!$A10,'pdc2019'!N$8:N$1159)</f>
        <v>0</v>
      </c>
      <c r="F10" s="355">
        <f>SUMIF('pdc2019'!$L$8:$L$1159,'Allegato 1) dbase'!$A10,'pdc2019'!P$8:P$1159)</f>
        <v>0</v>
      </c>
      <c r="G10" s="355">
        <f>SUMIF('pdc2019'!$L$8:$L$1159,'Allegato 1) dbase'!$A10,'pdc2019'!Q$8:Q$1159)</f>
        <v>0</v>
      </c>
      <c r="H10" s="355">
        <f>SUMIF('pdc2019'!$L$8:$L$1159,'Allegato 1) dbase'!$A10,'pdc2019'!R$8:R$1159)</f>
        <v>0</v>
      </c>
      <c r="I10" s="355">
        <f>SUMIF('pdc2019'!$L$8:$L$1159,'Allegato 1) dbase'!$A10,'pdc2019'!S$8:S$1159)</f>
        <v>0</v>
      </c>
      <c r="J10" s="357" t="str">
        <f t="shared" si="0"/>
        <v xml:space="preserve"> </v>
      </c>
      <c r="K10" s="356" t="str">
        <f t="shared" si="1"/>
        <v xml:space="preserve"> </v>
      </c>
    </row>
    <row r="11" spans="1:11" ht="18" customHeight="1">
      <c r="A11" s="3" t="s">
        <v>1920</v>
      </c>
      <c r="B11" s="1"/>
      <c r="C11" s="24" t="s">
        <v>941</v>
      </c>
      <c r="D11" s="25" t="s">
        <v>942</v>
      </c>
      <c r="E11" s="355">
        <f>SUMIF('pdc2019'!$L$8:$L$1159,'Allegato 1) dbase'!$A11,'pdc2019'!N$8:N$1159)</f>
        <v>0</v>
      </c>
      <c r="F11" s="355">
        <f>SUMIF('pdc2019'!$L$8:$L$1159,'Allegato 1) dbase'!$A11,'pdc2019'!P$8:P$1159)</f>
        <v>0</v>
      </c>
      <c r="G11" s="355">
        <f>SUMIF('pdc2019'!$L$8:$L$1159,'Allegato 1) dbase'!$A11,'pdc2019'!Q$8:Q$1159)</f>
        <v>0</v>
      </c>
      <c r="H11" s="355">
        <f>SUMIF('pdc2019'!$L$8:$L$1159,'Allegato 1) dbase'!$A11,'pdc2019'!R$8:R$1159)</f>
        <v>0</v>
      </c>
      <c r="I11" s="355">
        <f>SUMIF('pdc2019'!$L$8:$L$1159,'Allegato 1) dbase'!$A11,'pdc2019'!S$8:S$1159)</f>
        <v>0</v>
      </c>
      <c r="J11" s="357" t="str">
        <f t="shared" si="0"/>
        <v xml:space="preserve"> </v>
      </c>
      <c r="K11" s="356" t="str">
        <f t="shared" si="1"/>
        <v xml:space="preserve"> </v>
      </c>
    </row>
    <row r="12" spans="1:11" ht="18" customHeight="1">
      <c r="A12" s="3" t="s">
        <v>2002</v>
      </c>
      <c r="B12" s="1"/>
      <c r="C12" s="24" t="s">
        <v>943</v>
      </c>
      <c r="D12" s="25" t="s">
        <v>944</v>
      </c>
      <c r="E12" s="355">
        <f>SUMIF('pdc2019'!$L$8:$L$1159,'Allegato 1) dbase'!$A12,'pdc2019'!N$8:N$1159)</f>
        <v>0</v>
      </c>
      <c r="F12" s="355">
        <f>SUMIF('pdc2019'!$L$8:$L$1159,'Allegato 1) dbase'!$A12,'pdc2019'!P$8:P$1159)</f>
        <v>0</v>
      </c>
      <c r="G12" s="355">
        <f>SUMIF('pdc2019'!$L$8:$L$1159,'Allegato 1) dbase'!$A12,'pdc2019'!Q$8:Q$1159)</f>
        <v>0</v>
      </c>
      <c r="H12" s="355">
        <f>SUMIF('pdc2019'!$L$8:$L$1159,'Allegato 1) dbase'!$A12,'pdc2019'!R$8:R$1159)</f>
        <v>0</v>
      </c>
      <c r="I12" s="355">
        <f>SUMIF('pdc2019'!$L$8:$L$1159,'Allegato 1) dbase'!$A12,'pdc2019'!S$8:S$1159)</f>
        <v>0</v>
      </c>
      <c r="J12" s="357" t="str">
        <f t="shared" si="0"/>
        <v xml:space="preserve"> </v>
      </c>
      <c r="K12" s="356" t="str">
        <f t="shared" si="1"/>
        <v xml:space="preserve"> </v>
      </c>
    </row>
    <row r="13" spans="1:11" ht="18" customHeight="1">
      <c r="A13" s="2" t="s">
        <v>1436</v>
      </c>
      <c r="B13" s="26"/>
      <c r="C13" s="24" t="s">
        <v>1473</v>
      </c>
      <c r="D13" s="25" t="s">
        <v>945</v>
      </c>
      <c r="E13" s="355">
        <f>SUMIF('pdc2019'!$L$8:$L$1159,'Allegato 1) dbase'!$A13,'pdc2019'!N$8:N$1159)</f>
        <v>0</v>
      </c>
      <c r="F13" s="355">
        <f>SUMIF('pdc2019'!$L$8:$L$1159,'Allegato 1) dbase'!$A13,'pdc2019'!P$8:P$1159)</f>
        <v>0</v>
      </c>
      <c r="G13" s="355">
        <f>SUMIF('pdc2019'!$L$8:$L$1159,'Allegato 1) dbase'!$A13,'pdc2019'!Q$8:Q$1159)</f>
        <v>0</v>
      </c>
      <c r="H13" s="355">
        <f>SUMIF('pdc2019'!$L$8:$L$1159,'Allegato 1) dbase'!$A13,'pdc2019'!R$8:R$1159)</f>
        <v>0</v>
      </c>
      <c r="I13" s="355">
        <f>SUMIF('pdc2019'!$L$8:$L$1159,'Allegato 1) dbase'!$A13,'pdc2019'!S$8:S$1159)</f>
        <v>0</v>
      </c>
      <c r="J13" s="357" t="str">
        <f t="shared" si="0"/>
        <v xml:space="preserve"> </v>
      </c>
      <c r="K13" s="356" t="str">
        <f t="shared" si="1"/>
        <v xml:space="preserve"> </v>
      </c>
    </row>
    <row r="14" spans="1:11" ht="18" customHeight="1">
      <c r="A14" s="3" t="s">
        <v>2714</v>
      </c>
      <c r="B14" s="1"/>
      <c r="C14" s="24" t="s">
        <v>946</v>
      </c>
      <c r="D14" s="25" t="s">
        <v>947</v>
      </c>
      <c r="E14" s="355">
        <f>SUMIF('pdc2019'!$L$8:$L$1159,'Allegato 1) dbase'!$A14,'pdc2019'!N$8:N$1159)</f>
        <v>0</v>
      </c>
      <c r="F14" s="355">
        <f>SUMIF('pdc2019'!$L$8:$L$1159,'Allegato 1) dbase'!$A14,'pdc2019'!P$8:P$1159)</f>
        <v>0</v>
      </c>
      <c r="G14" s="355">
        <f>SUMIF('pdc2019'!$L$8:$L$1159,'Allegato 1) dbase'!$A14,'pdc2019'!Q$8:Q$1159)</f>
        <v>0</v>
      </c>
      <c r="H14" s="355">
        <f>SUMIF('pdc2019'!$L$8:$L$1159,'Allegato 1) dbase'!$A14,'pdc2019'!R$8:R$1159)</f>
        <v>0</v>
      </c>
      <c r="I14" s="355">
        <f>SUMIF('pdc2019'!$L$8:$L$1159,'Allegato 1) dbase'!$A14,'pdc2019'!S$8:S$1159)</f>
        <v>0</v>
      </c>
      <c r="J14" s="357" t="str">
        <f t="shared" si="0"/>
        <v xml:space="preserve"> </v>
      </c>
      <c r="K14" s="356" t="str">
        <f t="shared" si="1"/>
        <v xml:space="preserve"> </v>
      </c>
    </row>
    <row r="15" spans="1:11" s="21" customFormat="1" ht="18" customHeight="1">
      <c r="C15" s="27" t="s">
        <v>3147</v>
      </c>
      <c r="D15" s="28" t="s">
        <v>948</v>
      </c>
      <c r="E15" s="358">
        <f>SUM(E8:E14)</f>
        <v>0</v>
      </c>
      <c r="F15" s="358">
        <f>SUM(F8:F14)</f>
        <v>0</v>
      </c>
      <c r="G15" s="358">
        <f>SUM(G8:G14)</f>
        <v>0</v>
      </c>
      <c r="H15" s="358">
        <f>SUM(H8:H14)</f>
        <v>0</v>
      </c>
      <c r="I15" s="358">
        <f>SUM(I8:I14)</f>
        <v>0</v>
      </c>
      <c r="J15" s="359" t="str">
        <f t="shared" si="0"/>
        <v xml:space="preserve"> </v>
      </c>
      <c r="K15" s="360" t="str">
        <f t="shared" si="1"/>
        <v xml:space="preserve"> </v>
      </c>
    </row>
    <row r="16" spans="1:11" ht="18" customHeight="1">
      <c r="A16" s="3" t="s">
        <v>2603</v>
      </c>
      <c r="B16" s="1"/>
      <c r="C16" s="24" t="s">
        <v>949</v>
      </c>
      <c r="D16" s="25" t="s">
        <v>950</v>
      </c>
      <c r="E16" s="355">
        <f>SUMIF('pdc2019'!$L$8:$L$1159,'Allegato 1) dbase'!$A16,'pdc2019'!N$8:N$1159)</f>
        <v>0</v>
      </c>
      <c r="F16" s="355">
        <f>SUMIF('pdc2019'!$L$8:$L$1159,'Allegato 1) dbase'!$A16,'pdc2019'!P$8:P$1159)</f>
        <v>0</v>
      </c>
      <c r="G16" s="355">
        <f>SUMIF('pdc2019'!$L$8:$L$1159,'Allegato 1) dbase'!$A16,'pdc2019'!Q$8:Q$1159)</f>
        <v>0</v>
      </c>
      <c r="H16" s="355">
        <f>SUMIF('pdc2019'!$L$8:$L$1159,'Allegato 1) dbase'!$A16,'pdc2019'!R$8:R$1159)</f>
        <v>0</v>
      </c>
      <c r="I16" s="355">
        <f>SUMIF('pdc2019'!$L$8:$L$1159,'Allegato 1) dbase'!$A16,'pdc2019'!S$8:S$1159)</f>
        <v>0</v>
      </c>
      <c r="J16" s="357" t="str">
        <f t="shared" si="0"/>
        <v xml:space="preserve"> </v>
      </c>
      <c r="K16" s="356" t="str">
        <f t="shared" si="1"/>
        <v xml:space="preserve"> </v>
      </c>
    </row>
    <row r="17" spans="1:11" ht="18" customHeight="1">
      <c r="A17" s="2" t="s">
        <v>2023</v>
      </c>
      <c r="B17" s="26"/>
      <c r="C17" s="24" t="s">
        <v>951</v>
      </c>
      <c r="D17" s="25" t="s">
        <v>952</v>
      </c>
      <c r="E17" s="355">
        <f>SUMIF('pdc2019'!$L$8:$L$1159,'Allegato 1) dbase'!$A17,'pdc2019'!N$8:N$1159)</f>
        <v>0</v>
      </c>
      <c r="F17" s="355">
        <f>SUMIF('pdc2019'!$L$8:$L$1159,'Allegato 1) dbase'!$A17,'pdc2019'!P$8:P$1159)</f>
        <v>0</v>
      </c>
      <c r="G17" s="355">
        <f>SUMIF('pdc2019'!$L$8:$L$1159,'Allegato 1) dbase'!$A17,'pdc2019'!Q$8:Q$1159)</f>
        <v>0</v>
      </c>
      <c r="H17" s="355">
        <f>SUMIF('pdc2019'!$L$8:$L$1159,'Allegato 1) dbase'!$A17,'pdc2019'!R$8:R$1159)</f>
        <v>0</v>
      </c>
      <c r="I17" s="355">
        <f>SUMIF('pdc2019'!$L$8:$L$1159,'Allegato 1) dbase'!$A17,'pdc2019'!S$8:S$1159)</f>
        <v>0</v>
      </c>
      <c r="J17" s="357" t="str">
        <f t="shared" si="0"/>
        <v xml:space="preserve"> </v>
      </c>
      <c r="K17" s="356" t="str">
        <f t="shared" si="1"/>
        <v xml:space="preserve"> </v>
      </c>
    </row>
    <row r="18" spans="1:11" ht="18" customHeight="1">
      <c r="A18" s="2" t="s">
        <v>2132</v>
      </c>
      <c r="B18" s="26"/>
      <c r="C18" s="24" t="s">
        <v>953</v>
      </c>
      <c r="D18" s="25" t="s">
        <v>954</v>
      </c>
      <c r="E18" s="355">
        <f>SUMIF('pdc2019'!$L$8:$L$1159,'Allegato 1) dbase'!$A18,'pdc2019'!N$8:N$1159)</f>
        <v>0</v>
      </c>
      <c r="F18" s="355">
        <f>SUMIF('pdc2019'!$L$8:$L$1159,'Allegato 1) dbase'!$A18,'pdc2019'!P$8:P$1159)</f>
        <v>0</v>
      </c>
      <c r="G18" s="355">
        <f>SUMIF('pdc2019'!$L$8:$L$1159,'Allegato 1) dbase'!$A18,'pdc2019'!Q$8:Q$1159)</f>
        <v>0</v>
      </c>
      <c r="H18" s="355">
        <f>SUMIF('pdc2019'!$L$8:$L$1159,'Allegato 1) dbase'!$A18,'pdc2019'!R$8:R$1159)</f>
        <v>0</v>
      </c>
      <c r="I18" s="355">
        <f>SUMIF('pdc2019'!$L$8:$L$1159,'Allegato 1) dbase'!$A18,'pdc2019'!S$8:S$1159)</f>
        <v>0</v>
      </c>
      <c r="J18" s="357" t="str">
        <f t="shared" si="0"/>
        <v xml:space="preserve"> </v>
      </c>
      <c r="K18" s="356" t="str">
        <f t="shared" si="1"/>
        <v xml:space="preserve"> </v>
      </c>
    </row>
    <row r="19" spans="1:11" ht="18" customHeight="1">
      <c r="A19" s="3" t="s">
        <v>2073</v>
      </c>
      <c r="B19" s="1"/>
      <c r="C19" s="24" t="s">
        <v>955</v>
      </c>
      <c r="D19" s="25" t="s">
        <v>956</v>
      </c>
      <c r="E19" s="355">
        <f>SUMIF('pdc2019'!$L$8:$L$1159,'Allegato 1) dbase'!$A19,'pdc2019'!N$8:N$1159)</f>
        <v>0</v>
      </c>
      <c r="F19" s="355">
        <f>SUMIF('pdc2019'!$L$8:$L$1159,'Allegato 1) dbase'!$A19,'pdc2019'!P$8:P$1159)</f>
        <v>0</v>
      </c>
      <c r="G19" s="355">
        <f>SUMIF('pdc2019'!$L$8:$L$1159,'Allegato 1) dbase'!$A19,'pdc2019'!Q$8:Q$1159)</f>
        <v>0</v>
      </c>
      <c r="H19" s="355">
        <f>SUMIF('pdc2019'!$L$8:$L$1159,'Allegato 1) dbase'!$A19,'pdc2019'!R$8:R$1159)</f>
        <v>0</v>
      </c>
      <c r="I19" s="355">
        <f>SUMIF('pdc2019'!$L$8:$L$1159,'Allegato 1) dbase'!$A19,'pdc2019'!S$8:S$1159)</f>
        <v>0</v>
      </c>
      <c r="J19" s="357" t="str">
        <f t="shared" si="0"/>
        <v xml:space="preserve"> </v>
      </c>
      <c r="K19" s="356" t="str">
        <f t="shared" si="1"/>
        <v xml:space="preserve"> </v>
      </c>
    </row>
    <row r="20" spans="1:11" ht="18" customHeight="1">
      <c r="A20" s="3" t="s">
        <v>2627</v>
      </c>
      <c r="B20" s="1"/>
      <c r="C20" s="24" t="s">
        <v>957</v>
      </c>
      <c r="D20" s="25" t="s">
        <v>958</v>
      </c>
      <c r="E20" s="355">
        <f>SUMIF('pdc2019'!$L$8:$L$1159,'Allegato 1) dbase'!$A20,'pdc2019'!N$8:N$1159)</f>
        <v>0</v>
      </c>
      <c r="F20" s="355">
        <f>SUMIF('pdc2019'!$L$8:$L$1159,'Allegato 1) dbase'!$A20,'pdc2019'!P$8:P$1159)</f>
        <v>0</v>
      </c>
      <c r="G20" s="355">
        <f>SUMIF('pdc2019'!$L$8:$L$1159,'Allegato 1) dbase'!$A20,'pdc2019'!Q$8:Q$1159)</f>
        <v>0</v>
      </c>
      <c r="H20" s="355">
        <f>SUMIF('pdc2019'!$L$8:$L$1159,'Allegato 1) dbase'!$A20,'pdc2019'!R$8:R$1159)</f>
        <v>0</v>
      </c>
      <c r="I20" s="355">
        <f>SUMIF('pdc2019'!$L$8:$L$1159,'Allegato 1) dbase'!$A20,'pdc2019'!S$8:S$1159)</f>
        <v>0</v>
      </c>
      <c r="J20" s="357" t="str">
        <f t="shared" si="0"/>
        <v xml:space="preserve"> </v>
      </c>
      <c r="K20" s="356" t="str">
        <f t="shared" si="1"/>
        <v xml:space="preserve"> </v>
      </c>
    </row>
    <row r="21" spans="1:11" ht="18" customHeight="1">
      <c r="A21" s="3" t="s">
        <v>2618</v>
      </c>
      <c r="B21" s="1"/>
      <c r="C21" s="24" t="s">
        <v>959</v>
      </c>
      <c r="D21" s="25" t="s">
        <v>960</v>
      </c>
      <c r="E21" s="355">
        <f>SUMIF('pdc2019'!$L$8:$L$1159,'Allegato 1) dbase'!$A21,'pdc2019'!N$8:N$1159)</f>
        <v>0</v>
      </c>
      <c r="F21" s="355">
        <f>SUMIF('pdc2019'!$L$8:$L$1159,'Allegato 1) dbase'!$A21,'pdc2019'!P$8:P$1159)</f>
        <v>0</v>
      </c>
      <c r="G21" s="355">
        <f>SUMIF('pdc2019'!$L$8:$L$1159,'Allegato 1) dbase'!$A21,'pdc2019'!Q$8:Q$1159)</f>
        <v>0</v>
      </c>
      <c r="H21" s="355">
        <f>SUMIF('pdc2019'!$L$8:$L$1159,'Allegato 1) dbase'!$A21,'pdc2019'!R$8:R$1159)</f>
        <v>0</v>
      </c>
      <c r="I21" s="355">
        <f>SUMIF('pdc2019'!$L$8:$L$1159,'Allegato 1) dbase'!$A21,'pdc2019'!S$8:S$1159)</f>
        <v>0</v>
      </c>
      <c r="J21" s="357" t="str">
        <f t="shared" si="0"/>
        <v xml:space="preserve"> </v>
      </c>
      <c r="K21" s="356" t="str">
        <f t="shared" si="1"/>
        <v xml:space="preserve"> </v>
      </c>
    </row>
    <row r="22" spans="1:11" ht="18" customHeight="1">
      <c r="A22" s="2" t="s">
        <v>1394</v>
      </c>
      <c r="B22" s="26"/>
      <c r="C22" s="24" t="s">
        <v>961</v>
      </c>
      <c r="D22" s="25" t="s">
        <v>962</v>
      </c>
      <c r="E22" s="355">
        <f>SUMIF('pdc2019'!$L$8:$L$1159,'Allegato 1) dbase'!$A22,'pdc2019'!N$8:N$1159)</f>
        <v>0</v>
      </c>
      <c r="F22" s="355">
        <f>SUMIF('pdc2019'!$L$8:$L$1159,'Allegato 1) dbase'!$A22,'pdc2019'!P$8:P$1159)</f>
        <v>0</v>
      </c>
      <c r="G22" s="355">
        <f>SUMIF('pdc2019'!$L$8:$L$1159,'Allegato 1) dbase'!$A22,'pdc2019'!Q$8:Q$1159)</f>
        <v>0</v>
      </c>
      <c r="H22" s="355">
        <f>SUMIF('pdc2019'!$L$8:$L$1159,'Allegato 1) dbase'!$A22,'pdc2019'!R$8:R$1159)</f>
        <v>0</v>
      </c>
      <c r="I22" s="355">
        <f>SUMIF('pdc2019'!$L$8:$L$1159,'Allegato 1) dbase'!$A22,'pdc2019'!S$8:S$1159)</f>
        <v>0</v>
      </c>
      <c r="J22" s="357" t="str">
        <f t="shared" si="0"/>
        <v xml:space="preserve"> </v>
      </c>
      <c r="K22" s="356" t="str">
        <f t="shared" si="1"/>
        <v xml:space="preserve"> </v>
      </c>
    </row>
    <row r="23" spans="1:11" ht="18" customHeight="1">
      <c r="A23" s="3" t="s">
        <v>2117</v>
      </c>
      <c r="B23" s="1"/>
      <c r="C23" s="24" t="s">
        <v>963</v>
      </c>
      <c r="D23" s="25" t="s">
        <v>964</v>
      </c>
      <c r="E23" s="355">
        <f>SUMIF('pdc2019'!$L$8:$L$1159,'Allegato 1) dbase'!$A23,'pdc2019'!N$8:N$1159)</f>
        <v>0</v>
      </c>
      <c r="F23" s="355">
        <f>SUMIF('pdc2019'!$L$8:$L$1159,'Allegato 1) dbase'!$A23,'pdc2019'!P$8:P$1159)</f>
        <v>0</v>
      </c>
      <c r="G23" s="355">
        <f>SUMIF('pdc2019'!$L$8:$L$1159,'Allegato 1) dbase'!$A23,'pdc2019'!Q$8:Q$1159)</f>
        <v>0</v>
      </c>
      <c r="H23" s="355">
        <f>SUMIF('pdc2019'!$L$8:$L$1159,'Allegato 1) dbase'!$A23,'pdc2019'!R$8:R$1159)</f>
        <v>0</v>
      </c>
      <c r="I23" s="355">
        <f>SUMIF('pdc2019'!$L$8:$L$1159,'Allegato 1) dbase'!$A23,'pdc2019'!S$8:S$1159)</f>
        <v>0</v>
      </c>
      <c r="J23" s="357" t="str">
        <f t="shared" si="0"/>
        <v xml:space="preserve"> </v>
      </c>
      <c r="K23" s="356" t="str">
        <f t="shared" si="1"/>
        <v xml:space="preserve"> </v>
      </c>
    </row>
    <row r="24" spans="1:11" s="21" customFormat="1" ht="18" customHeight="1">
      <c r="C24" s="27" t="s">
        <v>965</v>
      </c>
      <c r="D24" s="28" t="s">
        <v>966</v>
      </c>
      <c r="E24" s="358">
        <f>SUM(E16:E23)</f>
        <v>0</v>
      </c>
      <c r="F24" s="358">
        <f>SUM(F16:F23)</f>
        <v>0</v>
      </c>
      <c r="G24" s="358">
        <f>SUM(G16:G23)</f>
        <v>0</v>
      </c>
      <c r="H24" s="358">
        <f>SUM(H16:H23)</f>
        <v>0</v>
      </c>
      <c r="I24" s="358">
        <f>SUM(I16:I23)</f>
        <v>0</v>
      </c>
      <c r="J24" s="359" t="str">
        <f t="shared" si="0"/>
        <v xml:space="preserve"> </v>
      </c>
      <c r="K24" s="360" t="str">
        <f t="shared" si="1"/>
        <v xml:space="preserve"> </v>
      </c>
    </row>
    <row r="25" spans="1:11" ht="16.5" customHeight="1">
      <c r="A25" s="3" t="s">
        <v>1363</v>
      </c>
      <c r="B25" s="1"/>
      <c r="C25" s="24" t="s">
        <v>967</v>
      </c>
      <c r="D25" s="25" t="s">
        <v>968</v>
      </c>
      <c r="E25" s="355">
        <f>SUMIF('pdc2019'!$L$8:$L$1159,'Allegato 1) dbase'!$A25,'pdc2019'!N$8:N$1159)</f>
        <v>0</v>
      </c>
      <c r="F25" s="355">
        <f>SUMIF('pdc2019'!$L$8:$L$1159,'Allegato 1) dbase'!$A25,'pdc2019'!P$8:P$1159)</f>
        <v>0</v>
      </c>
      <c r="G25" s="355">
        <f>SUMIF('pdc2019'!$L$8:$L$1159,'Allegato 1) dbase'!$A25,'pdc2019'!Q$8:Q$1159)</f>
        <v>0</v>
      </c>
      <c r="H25" s="355">
        <f>SUMIF('pdc2019'!$L$8:$L$1159,'Allegato 1) dbase'!$A25,'pdc2019'!R$8:R$1159)</f>
        <v>0</v>
      </c>
      <c r="I25" s="355">
        <f>SUMIF('pdc2019'!$L$8:$L$1159,'Allegato 1) dbase'!$A25,'pdc2019'!S$8:S$1159)</f>
        <v>0</v>
      </c>
      <c r="J25" s="357" t="str">
        <f t="shared" si="0"/>
        <v xml:space="preserve"> </v>
      </c>
      <c r="K25" s="356" t="str">
        <f t="shared" si="1"/>
        <v xml:space="preserve"> </v>
      </c>
    </row>
    <row r="26" spans="1:11" ht="18" customHeight="1">
      <c r="A26" s="3" t="s">
        <v>2247</v>
      </c>
      <c r="B26" s="1"/>
      <c r="C26" s="24" t="s">
        <v>969</v>
      </c>
      <c r="D26" s="25" t="s">
        <v>970</v>
      </c>
      <c r="E26" s="355">
        <f>SUMIF('pdc2019'!$L$8:$L$1159,'Allegato 1) dbase'!$A26,'pdc2019'!N$8:N$1159)</f>
        <v>0</v>
      </c>
      <c r="F26" s="355">
        <f>SUMIF('pdc2019'!$L$8:$L$1159,'Allegato 1) dbase'!$A26,'pdc2019'!P$8:P$1159)</f>
        <v>0</v>
      </c>
      <c r="G26" s="355">
        <f>SUMIF('pdc2019'!$L$8:$L$1159,'Allegato 1) dbase'!$A26,'pdc2019'!Q$8:Q$1159)</f>
        <v>0</v>
      </c>
      <c r="H26" s="355">
        <f>SUMIF('pdc2019'!$L$8:$L$1159,'Allegato 1) dbase'!$A26,'pdc2019'!R$8:R$1159)</f>
        <v>0</v>
      </c>
      <c r="I26" s="355">
        <f>SUMIF('pdc2019'!$L$8:$L$1159,'Allegato 1) dbase'!$A26,'pdc2019'!S$8:S$1159)</f>
        <v>0</v>
      </c>
      <c r="J26" s="357" t="str">
        <f t="shared" si="0"/>
        <v xml:space="preserve"> </v>
      </c>
      <c r="K26" s="356" t="str">
        <f t="shared" si="1"/>
        <v xml:space="preserve"> </v>
      </c>
    </row>
    <row r="27" spans="1:11" ht="18" customHeight="1">
      <c r="A27" s="5" t="s">
        <v>2522</v>
      </c>
      <c r="B27" s="29"/>
      <c r="C27" s="24" t="s">
        <v>1841</v>
      </c>
      <c r="D27" s="25" t="s">
        <v>1841</v>
      </c>
      <c r="E27" s="355">
        <f>SUMIF('pdc2019'!$L$8:$L$1159,'Allegato 1) dbase'!$A27,'pdc2019'!N$8:N$1159)</f>
        <v>0</v>
      </c>
      <c r="F27" s="355">
        <f>SUMIF('pdc2019'!$L$8:$L$1159,'Allegato 1) dbase'!$A27,'pdc2019'!P$8:P$1159)</f>
        <v>0</v>
      </c>
      <c r="G27" s="355">
        <f>SUMIF('pdc2019'!$L$8:$L$1159,'Allegato 1) dbase'!$A27,'pdc2019'!Q$8:Q$1159)</f>
        <v>0</v>
      </c>
      <c r="H27" s="355">
        <f>SUMIF('pdc2019'!$L$8:$L$1159,'Allegato 1) dbase'!$A27,'pdc2019'!R$8:R$1159)</f>
        <v>0</v>
      </c>
      <c r="I27" s="355">
        <f>SUMIF('pdc2019'!$L$8:$L$1159,'Allegato 1) dbase'!$A27,'pdc2019'!S$8:S$1159)</f>
        <v>0</v>
      </c>
      <c r="J27" s="357" t="str">
        <f t="shared" si="0"/>
        <v xml:space="preserve"> </v>
      </c>
      <c r="K27" s="356" t="str">
        <f t="shared" si="1"/>
        <v xml:space="preserve"> </v>
      </c>
    </row>
    <row r="28" spans="1:11" ht="18" customHeight="1">
      <c r="A28" s="5" t="s">
        <v>1696</v>
      </c>
      <c r="B28" s="29"/>
      <c r="C28" s="24" t="s">
        <v>971</v>
      </c>
      <c r="D28" s="25" t="s">
        <v>972</v>
      </c>
      <c r="E28" s="355">
        <f>SUMIF('pdc2019'!$L$8:$L$1159,'Allegato 1) dbase'!$A28,'pdc2019'!N$8:N$1159)</f>
        <v>0</v>
      </c>
      <c r="F28" s="355">
        <f>SUMIF('pdc2019'!$L$8:$L$1159,'Allegato 1) dbase'!$A28,'pdc2019'!P$8:P$1159)</f>
        <v>0</v>
      </c>
      <c r="G28" s="355">
        <f>SUMIF('pdc2019'!$L$8:$L$1159,'Allegato 1) dbase'!$A28,'pdc2019'!Q$8:Q$1159)</f>
        <v>0</v>
      </c>
      <c r="H28" s="355">
        <f>SUMIF('pdc2019'!$L$8:$L$1159,'Allegato 1) dbase'!$A28,'pdc2019'!R$8:R$1159)</f>
        <v>0</v>
      </c>
      <c r="I28" s="355">
        <f>SUMIF('pdc2019'!$L$8:$L$1159,'Allegato 1) dbase'!$A28,'pdc2019'!S$8:S$1159)</f>
        <v>0</v>
      </c>
      <c r="J28" s="357" t="str">
        <f t="shared" si="0"/>
        <v xml:space="preserve"> </v>
      </c>
      <c r="K28" s="356" t="str">
        <f t="shared" si="1"/>
        <v xml:space="preserve"> </v>
      </c>
    </row>
    <row r="29" spans="1:11" ht="15" customHeight="1">
      <c r="A29" s="5" t="s">
        <v>207</v>
      </c>
      <c r="B29" s="29"/>
      <c r="C29" s="24" t="s">
        <v>973</v>
      </c>
      <c r="D29" s="25" t="s">
        <v>974</v>
      </c>
      <c r="E29" s="355">
        <f>SUMIF('pdc2019'!$L$8:$L$1159,'Allegato 1) dbase'!$A29,'pdc2019'!N$8:N$1159)</f>
        <v>0</v>
      </c>
      <c r="F29" s="355">
        <f>SUMIF('pdc2019'!$L$8:$L$1159,'Allegato 1) dbase'!$A29,'pdc2019'!P$8:P$1159)</f>
        <v>0</v>
      </c>
      <c r="G29" s="355">
        <f>SUMIF('pdc2019'!$L$8:$L$1159,'Allegato 1) dbase'!$A29,'pdc2019'!Q$8:Q$1159)</f>
        <v>0</v>
      </c>
      <c r="H29" s="355">
        <f>SUMIF('pdc2019'!$L$8:$L$1159,'Allegato 1) dbase'!$A29,'pdc2019'!R$8:R$1159)</f>
        <v>0</v>
      </c>
      <c r="I29" s="355">
        <f>SUMIF('pdc2019'!$L$8:$L$1159,'Allegato 1) dbase'!$A29,'pdc2019'!S$8:S$1159)</f>
        <v>0</v>
      </c>
      <c r="J29" s="357" t="str">
        <f t="shared" si="0"/>
        <v xml:space="preserve"> </v>
      </c>
      <c r="K29" s="356" t="str">
        <f t="shared" si="1"/>
        <v xml:space="preserve"> </v>
      </c>
    </row>
    <row r="30" spans="1:11" ht="15" customHeight="1">
      <c r="A30" s="5" t="s">
        <v>1007</v>
      </c>
      <c r="B30" s="29"/>
      <c r="C30" s="24" t="s">
        <v>975</v>
      </c>
      <c r="D30" s="25" t="s">
        <v>976</v>
      </c>
      <c r="E30" s="355">
        <f>SUMIF('pdc2019'!$L$8:$L$1159,'Allegato 1) dbase'!$A30,'pdc2019'!N$8:N$1159)</f>
        <v>0</v>
      </c>
      <c r="F30" s="355">
        <f>SUMIF('pdc2019'!$L$8:$L$1159,'Allegato 1) dbase'!$A30,'pdc2019'!P$8:P$1159)</f>
        <v>0</v>
      </c>
      <c r="G30" s="355">
        <f>SUMIF('pdc2019'!$L$8:$L$1159,'Allegato 1) dbase'!$A30,'pdc2019'!Q$8:Q$1159)</f>
        <v>0</v>
      </c>
      <c r="H30" s="355">
        <f>SUMIF('pdc2019'!$L$8:$L$1159,'Allegato 1) dbase'!$A30,'pdc2019'!R$8:R$1159)</f>
        <v>0</v>
      </c>
      <c r="I30" s="355">
        <f>SUMIF('pdc2019'!$L$8:$L$1159,'Allegato 1) dbase'!$A30,'pdc2019'!S$8:S$1159)</f>
        <v>0</v>
      </c>
      <c r="J30" s="357" t="str">
        <f t="shared" si="0"/>
        <v xml:space="preserve"> </v>
      </c>
      <c r="K30" s="356" t="str">
        <f t="shared" si="1"/>
        <v xml:space="preserve"> </v>
      </c>
    </row>
    <row r="31" spans="1:11" ht="15" customHeight="1">
      <c r="A31" s="5" t="s">
        <v>195</v>
      </c>
      <c r="B31" s="29"/>
      <c r="C31" s="24" t="s">
        <v>1477</v>
      </c>
      <c r="D31" s="25" t="s">
        <v>977</v>
      </c>
      <c r="E31" s="355">
        <f>SUMIF('pdc2019'!$L$8:$L$1159,'Allegato 1) dbase'!$A31,'pdc2019'!N$8:N$1159)</f>
        <v>0</v>
      </c>
      <c r="F31" s="355">
        <f>SUMIF('pdc2019'!$L$8:$L$1159,'Allegato 1) dbase'!$A31,'pdc2019'!P$8:P$1159)</f>
        <v>0</v>
      </c>
      <c r="G31" s="355">
        <f>SUMIF('pdc2019'!$L$8:$L$1159,'Allegato 1) dbase'!$A31,'pdc2019'!Q$8:Q$1159)</f>
        <v>0</v>
      </c>
      <c r="H31" s="355">
        <f>SUMIF('pdc2019'!$L$8:$L$1159,'Allegato 1) dbase'!$A31,'pdc2019'!R$8:R$1159)</f>
        <v>0</v>
      </c>
      <c r="I31" s="355">
        <f>SUMIF('pdc2019'!$L$8:$L$1159,'Allegato 1) dbase'!$A31,'pdc2019'!S$8:S$1159)</f>
        <v>0</v>
      </c>
      <c r="J31" s="357" t="str">
        <f t="shared" si="0"/>
        <v xml:space="preserve"> </v>
      </c>
      <c r="K31" s="356" t="str">
        <f t="shared" si="1"/>
        <v xml:space="preserve"> </v>
      </c>
    </row>
    <row r="32" spans="1:11" s="21" customFormat="1" ht="15.75" customHeight="1">
      <c r="C32" s="27" t="s">
        <v>978</v>
      </c>
      <c r="D32" s="28" t="s">
        <v>979</v>
      </c>
      <c r="E32" s="358">
        <f>SUM(E25:E31)</f>
        <v>0</v>
      </c>
      <c r="F32" s="358">
        <f>SUM(F25:F31)</f>
        <v>0</v>
      </c>
      <c r="G32" s="358">
        <f>SUM(G25:G31)</f>
        <v>0</v>
      </c>
      <c r="H32" s="358">
        <f>SUM(H25:H31)</f>
        <v>0</v>
      </c>
      <c r="I32" s="358">
        <f>SUM(I25:I31)</f>
        <v>0</v>
      </c>
      <c r="J32" s="359" t="str">
        <f t="shared" si="0"/>
        <v xml:space="preserve"> </v>
      </c>
      <c r="K32" s="360" t="str">
        <f t="shared" si="1"/>
        <v xml:space="preserve"> </v>
      </c>
    </row>
    <row r="33" spans="1:11" s="21" customFormat="1" ht="24" customHeight="1">
      <c r="C33" s="27" t="s">
        <v>980</v>
      </c>
      <c r="D33" s="28" t="s">
        <v>981</v>
      </c>
      <c r="E33" s="358">
        <f>SUM(E32,E24,E15)</f>
        <v>0</v>
      </c>
      <c r="F33" s="358">
        <f>SUM(F32,F24,F15)</f>
        <v>0</v>
      </c>
      <c r="G33" s="358">
        <f>SUM(G32,G24,G15)</f>
        <v>0</v>
      </c>
      <c r="H33" s="358">
        <f>SUM(H32,H24,H15)</f>
        <v>0</v>
      </c>
      <c r="I33" s="358">
        <f>SUM(I32,I24,I15)</f>
        <v>0</v>
      </c>
      <c r="J33" s="359" t="str">
        <f t="shared" si="0"/>
        <v xml:space="preserve"> </v>
      </c>
      <c r="K33" s="360" t="str">
        <f t="shared" si="1"/>
        <v xml:space="preserve"> </v>
      </c>
    </row>
    <row r="34" spans="1:11" ht="15.75" customHeight="1">
      <c r="A34" s="5" t="s">
        <v>2498</v>
      </c>
      <c r="B34" s="6" t="s">
        <v>714</v>
      </c>
      <c r="C34" s="24" t="s">
        <v>982</v>
      </c>
      <c r="D34" s="25" t="s">
        <v>983</v>
      </c>
      <c r="E34" s="355">
        <f>SUMIF('pdc2019'!$L$8:$L$1159,'Allegato 1) dbase'!$A34,'pdc2019'!N$8:N$1159)-SUMIF('pdc2019'!$L$8:$L$1159,'Allegato 1) dbase'!$B34,'pdc2019'!N$8:N$1159)</f>
        <v>0</v>
      </c>
      <c r="F34" s="355">
        <f>SUMIF('pdc2019'!$L$8:$L$1159,'Allegato 1) dbase'!$A34,'pdc2019'!P$8:P$1159)-SUMIF('pdc2019'!$L$8:$L$1159,'Allegato 1) dbase'!$B34,'pdc2019'!P$8:P$1159)</f>
        <v>0</v>
      </c>
      <c r="G34" s="355">
        <f>SUMIF('pdc2019'!$L$8:$L$1159,'Allegato 1) dbase'!$A34,'pdc2019'!Q$8:Q$1159)-SUMIF('pdc2019'!$L$8:$L$1159,'Allegato 1) dbase'!$B34,'pdc2019'!Q$8:Q$1159)</f>
        <v>0</v>
      </c>
      <c r="H34" s="355">
        <f>SUMIF('pdc2019'!$L$8:$L$1159,'Allegato 1) dbase'!$A34,'pdc2019'!R$8:R$1159)-SUMIF('pdc2019'!$L$8:$L$1159,'Allegato 1) dbase'!$B34,'pdc2019'!R$8:R$1159)</f>
        <v>0</v>
      </c>
      <c r="I34" s="355">
        <f>SUMIF('pdc2019'!$L$8:$L$1159,'Allegato 1) dbase'!$A34,'pdc2019'!S$8:S$1159)-SUMIF('pdc2019'!$L$8:$L$1159,'Allegato 1) dbase'!$B34,'pdc2019'!S$8:S$1159)</f>
        <v>0</v>
      </c>
      <c r="J34" s="357" t="str">
        <f t="shared" si="0"/>
        <v xml:space="preserve"> </v>
      </c>
      <c r="K34" s="356" t="str">
        <f t="shared" si="1"/>
        <v xml:space="preserve"> </v>
      </c>
    </row>
    <row r="35" spans="1:11" ht="15.75" customHeight="1">
      <c r="A35" s="5" t="s">
        <v>1774</v>
      </c>
      <c r="B35" s="6" t="s">
        <v>739</v>
      </c>
      <c r="C35" s="24" t="s">
        <v>984</v>
      </c>
      <c r="D35" s="25" t="s">
        <v>985</v>
      </c>
      <c r="E35" s="355">
        <f>SUMIF('pdc2019'!$L$8:$L$1159,'Allegato 1) dbase'!$A35,'pdc2019'!N$8:N$1159)-SUMIF('pdc2019'!$L$8:$L$1159,'Allegato 1) dbase'!$B35,'pdc2019'!N$8:N$1159)</f>
        <v>0</v>
      </c>
      <c r="F35" s="355">
        <f>SUMIF('pdc2019'!$L$8:$L$1159,'Allegato 1) dbase'!$A35,'pdc2019'!P$8:P$1159)-SUMIF('pdc2019'!$L$8:$L$1159,'Allegato 1) dbase'!$B35,'pdc2019'!P$8:P$1159)</f>
        <v>0</v>
      </c>
      <c r="G35" s="355">
        <f>SUMIF('pdc2019'!$L$8:$L$1159,'Allegato 1) dbase'!$A35,'pdc2019'!Q$8:Q$1159)-SUMIF('pdc2019'!$L$8:$L$1159,'Allegato 1) dbase'!$B35,'pdc2019'!Q$8:Q$1159)</f>
        <v>0</v>
      </c>
      <c r="H35" s="355">
        <f>SUMIF('pdc2019'!$L$8:$L$1159,'Allegato 1) dbase'!$A35,'pdc2019'!R$8:R$1159)-SUMIF('pdc2019'!$L$8:$L$1159,'Allegato 1) dbase'!$B35,'pdc2019'!R$8:R$1159)</f>
        <v>0</v>
      </c>
      <c r="I35" s="355">
        <f>SUMIF('pdc2019'!$L$8:$L$1159,'Allegato 1) dbase'!$A35,'pdc2019'!S$8:S$1159)-SUMIF('pdc2019'!$L$8:$L$1159,'Allegato 1) dbase'!$B35,'pdc2019'!S$8:S$1159)</f>
        <v>0</v>
      </c>
      <c r="J35" s="357" t="str">
        <f t="shared" si="0"/>
        <v xml:space="preserve"> </v>
      </c>
      <c r="K35" s="356" t="str">
        <f t="shared" si="1"/>
        <v xml:space="preserve"> </v>
      </c>
    </row>
    <row r="36" spans="1:11" s="21" customFormat="1" ht="15.75" customHeight="1">
      <c r="A36" s="5"/>
      <c r="C36" s="27" t="s">
        <v>986</v>
      </c>
      <c r="D36" s="28" t="s">
        <v>987</v>
      </c>
      <c r="E36" s="358">
        <f>SUM(E34:E35)</f>
        <v>0</v>
      </c>
      <c r="F36" s="358">
        <f>SUM(F34:F35)</f>
        <v>0</v>
      </c>
      <c r="G36" s="358">
        <f>SUM(G34:G35)</f>
        <v>0</v>
      </c>
      <c r="H36" s="358">
        <f>SUM(H34:H35)</f>
        <v>0</v>
      </c>
      <c r="I36" s="358">
        <f>SUM(I34:I35)</f>
        <v>0</v>
      </c>
      <c r="J36" s="359" t="str">
        <f t="shared" si="0"/>
        <v xml:space="preserve"> </v>
      </c>
      <c r="K36" s="360" t="str">
        <f t="shared" si="1"/>
        <v xml:space="preserve"> </v>
      </c>
    </row>
    <row r="37" spans="1:11" s="21" customFormat="1" ht="15.75" customHeight="1">
      <c r="A37" s="5" t="s">
        <v>1833</v>
      </c>
      <c r="B37" s="4"/>
      <c r="C37" s="27" t="s">
        <v>988</v>
      </c>
      <c r="D37" s="28" t="s">
        <v>988</v>
      </c>
      <c r="E37" s="358">
        <f>SUMIF('pdc2019'!$L$8:$L$1159,'Allegato 1) dbase'!$A37,'pdc2019'!N$8:N$1159)-SUMIF('pdc2019'!$L$8:$L$1159,'Allegato 1) dbase'!$B37,'pdc2019'!N$8:N$1159)</f>
        <v>0</v>
      </c>
      <c r="F37" s="358">
        <f>SUMIF('pdc2019'!$L$8:$L$1159,'Allegato 1) dbase'!$A37,'pdc2019'!P$8:P$1159)-SUMIF('pdc2019'!$L$8:$L$1159,'Allegato 1) dbase'!$B37,'pdc2019'!P$8:P$1159)</f>
        <v>0</v>
      </c>
      <c r="G37" s="358">
        <f>SUMIF('pdc2019'!$L$8:$L$1159,'Allegato 1) dbase'!$A37,'pdc2019'!Q$8:Q$1159)-SUMIF('pdc2019'!$L$8:$L$1159,'Allegato 1) dbase'!$B37,'pdc2019'!Q$8:Q$1159)</f>
        <v>0</v>
      </c>
      <c r="H37" s="358">
        <f>SUMIF('pdc2019'!$L$8:$L$1159,'Allegato 1) dbase'!$A37,'pdc2019'!R$8:R$1159)-SUMIF('pdc2019'!$L$8:$L$1159,'Allegato 1) dbase'!$B37,'pdc2019'!R$8:R$1159)</f>
        <v>0</v>
      </c>
      <c r="I37" s="358">
        <f>SUMIF('pdc2019'!$L$8:$L$1159,'Allegato 1) dbase'!$A37,'pdc2019'!S$8:S$1159)-SUMIF('pdc2019'!$L$8:$L$1159,'Allegato 1) dbase'!$B37,'pdc2019'!S$8:S$1159)</f>
        <v>0</v>
      </c>
      <c r="J37" s="359" t="str">
        <f t="shared" si="0"/>
        <v xml:space="preserve"> </v>
      </c>
      <c r="K37" s="360" t="str">
        <f>IF(F37=0," ",(G37-F37)/F37)</f>
        <v xml:space="preserve"> </v>
      </c>
    </row>
    <row r="38" spans="1:11" s="21" customFormat="1" ht="15.75" customHeight="1">
      <c r="B38" s="4"/>
      <c r="C38" s="27" t="s">
        <v>989</v>
      </c>
      <c r="D38" s="28" t="s">
        <v>990</v>
      </c>
      <c r="E38" s="358">
        <f>E15+E24+E32+E36+E37</f>
        <v>0</v>
      </c>
      <c r="F38" s="358">
        <f>F15+F24+F32+F36+F37</f>
        <v>0</v>
      </c>
      <c r="G38" s="358">
        <f>G15+G24+G32+G36+G37</f>
        <v>0</v>
      </c>
      <c r="H38" s="358">
        <f>H15+H24+H32+H36+H37</f>
        <v>0</v>
      </c>
      <c r="I38" s="358">
        <f>I15+I24+I32+I36+I37</f>
        <v>0</v>
      </c>
      <c r="J38" s="359" t="str">
        <f t="shared" si="0"/>
        <v xml:space="preserve"> </v>
      </c>
      <c r="K38" s="360" t="str">
        <f t="shared" si="1"/>
        <v xml:space="preserve"> </v>
      </c>
    </row>
    <row r="39" spans="1:11" ht="17.25" customHeight="1">
      <c r="A39" s="6" t="s">
        <v>638</v>
      </c>
      <c r="B39" s="30"/>
      <c r="C39" s="24" t="s">
        <v>991</v>
      </c>
      <c r="D39" s="25" t="s">
        <v>269</v>
      </c>
      <c r="E39" s="355">
        <f>SUMIF('pdc2019'!$L$8:$L$1159,'Allegato 1) dbase'!$A39,'pdc2019'!N$8:N$1159)</f>
        <v>0</v>
      </c>
      <c r="F39" s="355">
        <f>SUMIF('pdc2019'!$L$8:$L$1159,'Allegato 1) dbase'!$A39,'pdc2019'!P$8:P$1159)</f>
        <v>0</v>
      </c>
      <c r="G39" s="355">
        <f>SUMIF('pdc2019'!$L$8:$L$1159,'Allegato 1) dbase'!$A39,'pdc2019'!Q$8:Q$1159)</f>
        <v>0</v>
      </c>
      <c r="H39" s="355">
        <f>SUMIF('pdc2019'!$L$8:$L$1159,'Allegato 1) dbase'!$A39,'pdc2019'!R$8:R$1159)</f>
        <v>0</v>
      </c>
      <c r="I39" s="355">
        <f>SUMIF('pdc2019'!$L$8:$L$1159,'Allegato 1) dbase'!$A39,'pdc2019'!S$8:S$1159)</f>
        <v>0</v>
      </c>
      <c r="J39" s="357" t="str">
        <f t="shared" si="0"/>
        <v xml:space="preserve"> </v>
      </c>
      <c r="K39" s="356" t="str">
        <f t="shared" si="1"/>
        <v xml:space="preserve"> </v>
      </c>
    </row>
    <row r="40" spans="1:11" ht="15.75" customHeight="1">
      <c r="A40" s="7" t="s">
        <v>637</v>
      </c>
      <c r="B40" s="31"/>
      <c r="C40" s="24" t="s">
        <v>270</v>
      </c>
      <c r="D40" s="25" t="s">
        <v>271</v>
      </c>
      <c r="E40" s="355">
        <f>SUMIF('pdc2019'!$L$8:$L$1159,'Allegato 1) dbase'!$A40,'pdc2019'!N$8:N$1159)</f>
        <v>0</v>
      </c>
      <c r="F40" s="355">
        <f>SUMIF('pdc2019'!$L$8:$L$1159,'Allegato 1) dbase'!$A40,'pdc2019'!P$8:P$1159)</f>
        <v>0</v>
      </c>
      <c r="G40" s="355">
        <f>SUMIF('pdc2019'!$L$8:$L$1159,'Allegato 1) dbase'!$A40,'pdc2019'!Q$8:Q$1159)</f>
        <v>0</v>
      </c>
      <c r="H40" s="355">
        <f>SUMIF('pdc2019'!$L$8:$L$1159,'Allegato 1) dbase'!$A40,'pdc2019'!R$8:R$1159)</f>
        <v>0</v>
      </c>
      <c r="I40" s="355">
        <f>SUMIF('pdc2019'!$L$8:$L$1159,'Allegato 1) dbase'!$A40,'pdc2019'!S$8:S$1159)</f>
        <v>0</v>
      </c>
      <c r="J40" s="357" t="str">
        <f t="shared" si="0"/>
        <v xml:space="preserve"> </v>
      </c>
      <c r="K40" s="356" t="str">
        <f t="shared" si="1"/>
        <v xml:space="preserve"> </v>
      </c>
    </row>
    <row r="41" spans="1:11" ht="17.25" customHeight="1">
      <c r="A41" s="6" t="s">
        <v>450</v>
      </c>
      <c r="B41" s="30"/>
      <c r="C41" s="24" t="s">
        <v>3758</v>
      </c>
      <c r="D41" s="25" t="s">
        <v>3759</v>
      </c>
      <c r="E41" s="355">
        <f>SUMIF('pdc2019'!$L$8:$L$1159,'Allegato 1) dbase'!$A41,'pdc2019'!N$8:N$1159)</f>
        <v>0</v>
      </c>
      <c r="F41" s="355">
        <f>SUMIF('pdc2019'!$L$8:$L$1159,'Allegato 1) dbase'!$A41,'pdc2019'!P$8:P$1159)</f>
        <v>0</v>
      </c>
      <c r="G41" s="355">
        <f>SUMIF('pdc2019'!$L$8:$L$1159,'Allegato 1) dbase'!$A41,'pdc2019'!Q$8:Q$1159)</f>
        <v>0</v>
      </c>
      <c r="H41" s="355">
        <f>SUMIF('pdc2019'!$L$8:$L$1159,'Allegato 1) dbase'!$A41,'pdc2019'!R$8:R$1159)</f>
        <v>0</v>
      </c>
      <c r="I41" s="355">
        <f>SUMIF('pdc2019'!$L$8:$L$1159,'Allegato 1) dbase'!$A41,'pdc2019'!S$8:S$1159)</f>
        <v>0</v>
      </c>
      <c r="J41" s="357" t="str">
        <f t="shared" si="0"/>
        <v xml:space="preserve"> </v>
      </c>
      <c r="K41" s="356" t="str">
        <f t="shared" si="1"/>
        <v xml:space="preserve"> </v>
      </c>
    </row>
    <row r="42" spans="1:11" ht="17.25" customHeight="1">
      <c r="A42" s="6" t="s">
        <v>11</v>
      </c>
      <c r="B42" s="32"/>
      <c r="C42" s="24" t="s">
        <v>2175</v>
      </c>
      <c r="D42" s="25" t="s">
        <v>2176</v>
      </c>
      <c r="E42" s="355">
        <f>SUMIF('pdc2019'!$L$8:$L$1159,'Allegato 1) dbase'!$A42,'pdc2019'!N$8:N$1159)</f>
        <v>0</v>
      </c>
      <c r="F42" s="355">
        <f>SUMIF('pdc2019'!$L$8:$L$1159,'Allegato 1) dbase'!$A42,'pdc2019'!P$8:P$1159)</f>
        <v>0</v>
      </c>
      <c r="G42" s="355">
        <f>SUMIF('pdc2019'!$L$8:$L$1159,'Allegato 1) dbase'!$A42,'pdc2019'!Q$8:Q$1159)</f>
        <v>0</v>
      </c>
      <c r="H42" s="355">
        <f>SUMIF('pdc2019'!$L$8:$L$1159,'Allegato 1) dbase'!$A42,'pdc2019'!R$8:R$1159)</f>
        <v>0</v>
      </c>
      <c r="I42" s="355">
        <f>SUMIF('pdc2019'!$L$8:$L$1159,'Allegato 1) dbase'!$A42,'pdc2019'!S$8:S$1159)</f>
        <v>0</v>
      </c>
      <c r="J42" s="357" t="str">
        <f t="shared" si="0"/>
        <v xml:space="preserve"> </v>
      </c>
      <c r="K42" s="356" t="str">
        <f t="shared" si="1"/>
        <v xml:space="preserve"> </v>
      </c>
    </row>
    <row r="43" spans="1:11" s="21" customFormat="1" ht="21" customHeight="1">
      <c r="C43" s="27" t="s">
        <v>272</v>
      </c>
      <c r="D43" s="28" t="s">
        <v>273</v>
      </c>
      <c r="E43" s="358">
        <f>SUM(E39:E42)-E38</f>
        <v>0</v>
      </c>
      <c r="F43" s="358">
        <f>SUM(F39:F42)-F38</f>
        <v>0</v>
      </c>
      <c r="G43" s="358">
        <f>SUM(G39:G42)-G38</f>
        <v>0</v>
      </c>
      <c r="H43" s="358">
        <f>SUM(H39:H42)-H38</f>
        <v>0</v>
      </c>
      <c r="I43" s="358">
        <f>SUM(I39:I42)-I38</f>
        <v>0</v>
      </c>
      <c r="J43" s="359" t="str">
        <f t="shared" si="0"/>
        <v xml:space="preserve"> </v>
      </c>
      <c r="K43" s="360" t="str">
        <f t="shared" si="1"/>
        <v xml:space="preserve"> </v>
      </c>
    </row>
  </sheetData>
  <sheetProtection selectLockedCells="1" selectUnlockedCells="1"/>
  <mergeCells count="4">
    <mergeCell ref="A5:A6"/>
    <mergeCell ref="C5:C6"/>
    <mergeCell ref="D5:D6"/>
    <mergeCell ref="E5:K5"/>
  </mergeCells>
  <printOptions horizontalCentered="1" verticalCentered="1"/>
  <pageMargins left="0.35433070866141736" right="0.15748031496062992" top="0.78740157480314965" bottom="0.55118110236220474" header="0.51181102362204722" footer="0.31496062992125984"/>
  <pageSetup paperSize="9" scale="65" firstPageNumber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4B0CB937D119458FE86445E76097FF" ma:contentTypeVersion="4" ma:contentTypeDescription="Create a new document." ma:contentTypeScope="" ma:versionID="09cc3e0804ae7f63f2d0faea6510e8c1">
  <xsd:schema xmlns:xsd="http://www.w3.org/2001/XMLSchema" xmlns:xs="http://www.w3.org/2001/XMLSchema" xmlns:p="http://schemas.microsoft.com/office/2006/metadata/properties" xmlns:ns2="b2d97902-37d2-4639-9471-585c35cc4dbd" xmlns:ns3="2c6e3e18-0ecf-4f24-86ca-29d93eabb864" targetNamespace="http://schemas.microsoft.com/office/2006/metadata/properties" ma:root="true" ma:fieldsID="c4b7c12174fd02b2be8b3ac0fe4581f7" ns2:_="" ns3:_="">
    <xsd:import namespace="b2d97902-37d2-4639-9471-585c35cc4dbd"/>
    <xsd:import namespace="2c6e3e18-0ecf-4f24-86ca-29d93eabb864"/>
    <xsd:element name="properties">
      <xsd:complexType>
        <xsd:sequence>
          <xsd:element name="documentManagement">
            <xsd:complexType>
              <xsd:all>
                <xsd:element ref="ns2:Buch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7902-37d2-4639-9471-585c35cc4dbd" elementFormDefault="qualified">
    <xsd:import namespace="http://schemas.microsoft.com/office/2006/documentManagement/types"/>
    <xsd:import namespace="http://schemas.microsoft.com/office/infopath/2007/PartnerControls"/>
    <xsd:element name="Buch" ma:index="4" ma:displayName="Buch" ma:default="Beschluss" ma:description="wird in das ausgesuchte Buch eingefügt" ma:format="Dropdown" ma:internalName="Buch" ma:readOnly="false">
      <xsd:simpleType>
        <xsd:restriction base="dms:Choice">
          <xsd:enumeration value="Beschluss"/>
          <xsd:enumeration value="Technische Kriterien"/>
          <xsd:enumeration value="Berich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e3e18-0ecf-4f24-86ca-29d93eabb86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0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ch xmlns="b2d97902-37d2-4639-9471-585c35cc4dbd">Beschluss</Buch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EE9D33E-59B7-4AEE-B304-C6863451F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7902-37d2-4639-9471-585c35cc4dbd"/>
    <ds:schemaRef ds:uri="2c6e3e18-0ecf-4f24-86ca-29d93eabb8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B42D98-F68A-43D6-A3C3-A303E270C0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249D58-726C-4030-8D4A-146E3FA71812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2c6e3e18-0ecf-4f24-86ca-29d93eabb864"/>
    <ds:schemaRef ds:uri="http://schemas.openxmlformats.org/package/2006/metadata/core-properties"/>
    <ds:schemaRef ds:uri="b2d97902-37d2-4639-9471-585c35cc4db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DDE926B-8DDE-455D-866E-DE3EC05D9E4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17</vt:i4>
      </vt:variant>
    </vt:vector>
  </HeadingPairs>
  <TitlesOfParts>
    <vt:vector size="28" baseType="lpstr">
      <vt:lpstr>pdc2019</vt:lpstr>
      <vt:lpstr>CE statale</vt:lpstr>
      <vt:lpstr>G.u.V.Rechnung Staat</vt:lpstr>
      <vt:lpstr>CE statale pluri</vt:lpstr>
      <vt:lpstr>G.u.V.Rechnung Staat pluri</vt:lpstr>
      <vt:lpstr>CE MINISTERIALE 2019</vt:lpstr>
      <vt:lpstr>CE MINISTERIALE DE</vt:lpstr>
      <vt:lpstr>Anlage A10 - Finanzierungsübers</vt:lpstr>
      <vt:lpstr>Allegato 1) dbase</vt:lpstr>
      <vt:lpstr>CE sintesi</vt:lpstr>
      <vt:lpstr>CE Synthese</vt:lpstr>
      <vt:lpstr>'Allegato 1) dbase'!Area_stampa</vt:lpstr>
      <vt:lpstr>'CE MINISTERIALE 2019'!Area_stampa</vt:lpstr>
      <vt:lpstr>'CE MINISTERIALE DE'!Area_stampa</vt:lpstr>
      <vt:lpstr>'CE sintesi'!Area_stampa</vt:lpstr>
      <vt:lpstr>'CE statale'!Area_stampa</vt:lpstr>
      <vt:lpstr>'CE statale pluri'!Area_stampa</vt:lpstr>
      <vt:lpstr>'CE Synthese'!Area_stampa</vt:lpstr>
      <vt:lpstr>'G.u.V.Rechnung Staat'!Area_stampa</vt:lpstr>
      <vt:lpstr>'G.u.V.Rechnung Staat pluri'!Area_stampa</vt:lpstr>
      <vt:lpstr>'pdc2019'!Area_stampa</vt:lpstr>
      <vt:lpstr>'CE MINISTERIALE 2019'!Titoli_stampa</vt:lpstr>
      <vt:lpstr>'CE MINISTERIALE DE'!Titoli_stampa</vt:lpstr>
      <vt:lpstr>'CE statale'!Titoli_stampa</vt:lpstr>
      <vt:lpstr>'CE statale pluri'!Titoli_stampa</vt:lpstr>
      <vt:lpstr>'G.u.V.Rechnung Staat'!Titoli_stampa</vt:lpstr>
      <vt:lpstr>'G.u.V.Rechnung Staat pluri'!Titoli_stampa</vt:lpstr>
      <vt:lpstr>'pdc2019'!Titoli_stampa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MICK</dc:creator>
  <cp:lastModifiedBy>Armin Mick</cp:lastModifiedBy>
  <cp:lastPrinted>2019-11-21T14:31:26Z</cp:lastPrinted>
  <dcterms:created xsi:type="dcterms:W3CDTF">2013-11-12T12:20:18Z</dcterms:created>
  <dcterms:modified xsi:type="dcterms:W3CDTF">2019-11-28T10:40:11Z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0x0101009E740313637BF749A243F4226ACA9703</vt:lpwstr>
  </property>
  <property fmtid="{D5CDD505-2E9C-101B-9397-08002B2CF9AE}" pid="3" name="_dlc_DocId">
    <vt:lpwstr>EV3XTJTMS33K-8-1</vt:lpwstr>
  </property>
  <property fmtid="{D5CDD505-2E9C-101B-9397-08002B2CF9AE}" pid="4" name="_dlc_DocIdItemGuid">
    <vt:lpwstr>6ba99f10-7b37-4aee-b3e9-d60ab9711667</vt:lpwstr>
  </property>
  <property fmtid="{D5CDD505-2E9C-101B-9397-08002B2CF9AE}" pid="5" name="_dlc_DocIdUrl">
    <vt:lpwstr>http://spointas-asb.asb.sabes.it:81/workgroups/economics-finances/_layouts/15/DocIdRedir.aspx?ID=EV3XTJTMS33K-8-1, EV3XTJTMS33K-8-1</vt:lpwstr>
  </property>
</Properties>
</file>